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555" tabRatio="755" firstSheet="3" activeTab="4"/>
  </bookViews>
  <sheets>
    <sheet name="Laws" sheetId="88" r:id="rId1"/>
    <sheet name="Deliverables" sheetId="89" r:id="rId2"/>
    <sheet name="Deliverables - Potential Harm" sheetId="98" r:id="rId3"/>
    <sheet name="Organizational Units" sheetId="91" r:id="rId4"/>
    <sheet name="ComprehensiveStrategic Finances" sheetId="105" r:id="rId5"/>
    <sheet name="Performance Measures" sheetId="62" r:id="rId6"/>
    <sheet name="Strategic Plan Summary" sheetId="93" r:id="rId7"/>
    <sheet name="Drop Down Options" sheetId="3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Area" localSheetId="0">Laws!$A$1:$H$214</definedName>
    <definedName name="_xlnm.Print_Area" localSheetId="6">'Strategic Plan Summary'!$A$1:$O$101</definedName>
    <definedName name="_xlnm.Print_Titles" localSheetId="1">Deliverables!$1:$4</definedName>
    <definedName name="_xlnm.Print_Titles" localSheetId="2">'Deliverables - Potential Harm'!$1:$4</definedName>
    <definedName name="_xlnm.Print_Titles" localSheetId="0">Laws!$1:$5</definedName>
    <definedName name="_xlnm.Print_Titles" localSheetId="3">'Organizational Units'!$6:$6</definedName>
    <definedName name="_xlnm.Print_Titles" localSheetId="5">'Performance Measures'!$6:$6</definedName>
    <definedName name="_xlnm.Print_Titles" localSheetId="6">'Strategic Plan Summary'!$14:$15</definedName>
    <definedName name="TypeofMeasure">[1]Sheet1!$C$8:$C$11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93" l="1"/>
  <c r="D12" i="93"/>
  <c r="H9" i="93"/>
  <c r="D9" i="93"/>
  <c r="B307" i="105" l="1"/>
  <c r="B306" i="105"/>
  <c r="C305" i="105"/>
  <c r="B305" i="105"/>
  <c r="C304" i="105"/>
  <c r="B304" i="105"/>
  <c r="C303" i="105"/>
  <c r="B303" i="105"/>
  <c r="AG299" i="105"/>
  <c r="AG309" i="105" s="1"/>
  <c r="AF299" i="105"/>
  <c r="AF309" i="105" s="1"/>
  <c r="AE299" i="105"/>
  <c r="AE309" i="105" s="1"/>
  <c r="AD299" i="105"/>
  <c r="AD309" i="105" s="1"/>
  <c r="AC299" i="105"/>
  <c r="AC309" i="105" s="1"/>
  <c r="AB299" i="105"/>
  <c r="AB309" i="105" s="1"/>
  <c r="AA299" i="105"/>
  <c r="AA309" i="105" s="1"/>
  <c r="Z299" i="105"/>
  <c r="Z309" i="105" s="1"/>
  <c r="Y299" i="105"/>
  <c r="Y309" i="105" s="1"/>
  <c r="X299" i="105"/>
  <c r="X309" i="105" s="1"/>
  <c r="W299" i="105"/>
  <c r="W309" i="105" s="1"/>
  <c r="V299" i="105"/>
  <c r="V309" i="105" s="1"/>
  <c r="U299" i="105"/>
  <c r="U309" i="105" s="1"/>
  <c r="T299" i="105"/>
  <c r="T309" i="105" s="1"/>
  <c r="S299" i="105"/>
  <c r="S309" i="105" s="1"/>
  <c r="R299" i="105"/>
  <c r="R309" i="105" s="1"/>
  <c r="Q299" i="105"/>
  <c r="Q309" i="105" s="1"/>
  <c r="P299" i="105"/>
  <c r="P309" i="105" s="1"/>
  <c r="O299" i="105"/>
  <c r="O309" i="105" s="1"/>
  <c r="N299" i="105"/>
  <c r="N309" i="105" s="1"/>
  <c r="M299" i="105"/>
  <c r="M309" i="105" s="1"/>
  <c r="L299" i="105"/>
  <c r="L309" i="105" s="1"/>
  <c r="K299" i="105"/>
  <c r="K309" i="105" s="1"/>
  <c r="J299" i="105"/>
  <c r="J309" i="105" s="1"/>
  <c r="I299" i="105"/>
  <c r="I309" i="105" s="1"/>
  <c r="H299" i="105"/>
  <c r="H309" i="105" s="1"/>
  <c r="G299" i="105"/>
  <c r="G309" i="105" s="1"/>
  <c r="F299" i="105"/>
  <c r="F309" i="105" s="1"/>
  <c r="E299" i="105"/>
  <c r="E309" i="105" s="1"/>
  <c r="D299" i="105"/>
  <c r="C298" i="105"/>
  <c r="C297" i="105"/>
  <c r="AG292" i="105"/>
  <c r="AG308" i="105" s="1"/>
  <c r="AF292" i="105"/>
  <c r="AF308" i="105" s="1"/>
  <c r="AE292" i="105"/>
  <c r="AE308" i="105" s="1"/>
  <c r="AD292" i="105"/>
  <c r="AD308" i="105" s="1"/>
  <c r="AC292" i="105"/>
  <c r="AC308" i="105" s="1"/>
  <c r="AB292" i="105"/>
  <c r="AB308" i="105" s="1"/>
  <c r="AA292" i="105"/>
  <c r="AA308" i="105" s="1"/>
  <c r="Z292" i="105"/>
  <c r="Z308" i="105" s="1"/>
  <c r="Y292" i="105"/>
  <c r="Y308" i="105" s="1"/>
  <c r="X292" i="105"/>
  <c r="X308" i="105" s="1"/>
  <c r="W292" i="105"/>
  <c r="W308" i="105" s="1"/>
  <c r="V292" i="105"/>
  <c r="V308" i="105" s="1"/>
  <c r="U292" i="105"/>
  <c r="U308" i="105" s="1"/>
  <c r="T292" i="105"/>
  <c r="T308" i="105" s="1"/>
  <c r="S292" i="105"/>
  <c r="S308" i="105" s="1"/>
  <c r="R292" i="105"/>
  <c r="R308" i="105" s="1"/>
  <c r="Q292" i="105"/>
  <c r="Q308" i="105" s="1"/>
  <c r="P292" i="105"/>
  <c r="P308" i="105" s="1"/>
  <c r="O292" i="105"/>
  <c r="O308" i="105" s="1"/>
  <c r="N292" i="105"/>
  <c r="N308" i="105" s="1"/>
  <c r="M292" i="105"/>
  <c r="M308" i="105" s="1"/>
  <c r="L292" i="105"/>
  <c r="L308" i="105" s="1"/>
  <c r="K292" i="105"/>
  <c r="K308" i="105" s="1"/>
  <c r="J292" i="105"/>
  <c r="J308" i="105" s="1"/>
  <c r="I292" i="105"/>
  <c r="I308" i="105" s="1"/>
  <c r="H292" i="105"/>
  <c r="H308" i="105" s="1"/>
  <c r="G292" i="105"/>
  <c r="G308" i="105" s="1"/>
  <c r="F292" i="105"/>
  <c r="F308" i="105" s="1"/>
  <c r="E292" i="105"/>
  <c r="E308" i="105" s="1"/>
  <c r="C291" i="105"/>
  <c r="C290" i="105"/>
  <c r="C289" i="105"/>
  <c r="C287" i="105"/>
  <c r="C286" i="105"/>
  <c r="C285" i="105"/>
  <c r="C284" i="105"/>
  <c r="C282" i="105"/>
  <c r="C281" i="105"/>
  <c r="C280" i="105"/>
  <c r="C278" i="105"/>
  <c r="C277" i="105"/>
  <c r="C275" i="105"/>
  <c r="C274" i="105"/>
  <c r="C271" i="105"/>
  <c r="C270" i="105"/>
  <c r="C269" i="105"/>
  <c r="C268" i="105"/>
  <c r="C265" i="105"/>
  <c r="C264" i="105"/>
  <c r="C263" i="105"/>
  <c r="C261" i="105"/>
  <c r="C260" i="105"/>
  <c r="C259" i="105"/>
  <c r="C258" i="105"/>
  <c r="D256" i="105"/>
  <c r="C256" i="105" s="1"/>
  <c r="D255" i="105"/>
  <c r="C255" i="105" s="1"/>
  <c r="D254" i="105"/>
  <c r="C254" i="105" s="1"/>
  <c r="D253" i="105"/>
  <c r="C253" i="105" s="1"/>
  <c r="D251" i="105"/>
  <c r="C251" i="105"/>
  <c r="D250" i="105"/>
  <c r="C250" i="105" s="1"/>
  <c r="D249" i="105"/>
  <c r="C249" i="105" s="1"/>
  <c r="D248" i="105"/>
  <c r="C248" i="105" s="1"/>
  <c r="D246" i="105"/>
  <c r="C246" i="105" s="1"/>
  <c r="D245" i="105"/>
  <c r="C245" i="105" s="1"/>
  <c r="D244" i="105"/>
  <c r="C244" i="105" s="1"/>
  <c r="D242" i="105"/>
  <c r="C242" i="105" s="1"/>
  <c r="D241" i="105"/>
  <c r="C241" i="105" s="1"/>
  <c r="D240" i="105"/>
  <c r="C237" i="105"/>
  <c r="C236" i="105"/>
  <c r="C235" i="105"/>
  <c r="C233" i="105"/>
  <c r="C232" i="105"/>
  <c r="C231" i="105"/>
  <c r="C229" i="105"/>
  <c r="C228" i="105"/>
  <c r="C227" i="105"/>
  <c r="C226" i="105"/>
  <c r="C225" i="105"/>
  <c r="C222" i="105"/>
  <c r="C221" i="105"/>
  <c r="C220" i="105"/>
  <c r="C219" i="105"/>
  <c r="C217" i="105"/>
  <c r="C216" i="105"/>
  <c r="C215" i="105"/>
  <c r="C213" i="105"/>
  <c r="C212" i="105"/>
  <c r="C211" i="105"/>
  <c r="C210" i="105"/>
  <c r="AG202" i="105"/>
  <c r="AF202" i="105"/>
  <c r="AE202" i="105"/>
  <c r="AD202" i="105"/>
  <c r="AC202" i="105"/>
  <c r="AB202" i="105"/>
  <c r="AA202" i="105"/>
  <c r="Z202" i="105"/>
  <c r="Y202" i="105"/>
  <c r="X202" i="105"/>
  <c r="W202" i="105"/>
  <c r="V202" i="105"/>
  <c r="U202" i="105"/>
  <c r="T202" i="105"/>
  <c r="S202" i="105"/>
  <c r="R202" i="105"/>
  <c r="Q202" i="105"/>
  <c r="P202" i="105"/>
  <c r="O202" i="105"/>
  <c r="N202" i="105"/>
  <c r="M202" i="105"/>
  <c r="L202" i="105"/>
  <c r="K202" i="105"/>
  <c r="J202" i="105"/>
  <c r="I202" i="105"/>
  <c r="H202" i="105"/>
  <c r="G202" i="105"/>
  <c r="F202" i="105"/>
  <c r="E202" i="105"/>
  <c r="D202" i="105"/>
  <c r="AG201" i="105"/>
  <c r="AF201" i="105"/>
  <c r="AE201" i="105"/>
  <c r="AD201" i="105"/>
  <c r="AC201" i="105"/>
  <c r="AB201" i="105"/>
  <c r="AA201" i="105"/>
  <c r="Z201" i="105"/>
  <c r="Y201" i="105"/>
  <c r="X201" i="105"/>
  <c r="W201" i="105"/>
  <c r="V201" i="105"/>
  <c r="U201" i="105"/>
  <c r="T201" i="105"/>
  <c r="S201" i="105"/>
  <c r="R201" i="105"/>
  <c r="Q201" i="105"/>
  <c r="P201" i="105"/>
  <c r="O201" i="105"/>
  <c r="N201" i="105"/>
  <c r="M201" i="105"/>
  <c r="L201" i="105"/>
  <c r="K201" i="105"/>
  <c r="J201" i="105"/>
  <c r="I201" i="105"/>
  <c r="H201" i="105"/>
  <c r="G201" i="105"/>
  <c r="F201" i="105"/>
  <c r="E201" i="105"/>
  <c r="D201" i="105"/>
  <c r="C200" i="105"/>
  <c r="AG197" i="105"/>
  <c r="AF197" i="105"/>
  <c r="AE197" i="105"/>
  <c r="AD197" i="105"/>
  <c r="AC197" i="105"/>
  <c r="AB197" i="105"/>
  <c r="AA197" i="105"/>
  <c r="Z197" i="105"/>
  <c r="Y197" i="105"/>
  <c r="X197" i="105"/>
  <c r="W197" i="105"/>
  <c r="V197" i="105"/>
  <c r="U197" i="105"/>
  <c r="T197" i="105"/>
  <c r="S197" i="105"/>
  <c r="R197" i="105"/>
  <c r="Q197" i="105"/>
  <c r="P197" i="105"/>
  <c r="O197" i="105"/>
  <c r="N197" i="105"/>
  <c r="M197" i="105"/>
  <c r="L197" i="105"/>
  <c r="K197" i="105"/>
  <c r="J197" i="105"/>
  <c r="I197" i="105"/>
  <c r="H197" i="105"/>
  <c r="G197" i="105"/>
  <c r="F197" i="105"/>
  <c r="E197" i="105"/>
  <c r="D197" i="105"/>
  <c r="C192" i="105"/>
  <c r="AG191" i="105"/>
  <c r="AG193" i="105" s="1"/>
  <c r="AF191" i="105"/>
  <c r="AF193" i="105" s="1"/>
  <c r="AE191" i="105"/>
  <c r="AE193" i="105" s="1"/>
  <c r="AD191" i="105"/>
  <c r="AD193" i="105" s="1"/>
  <c r="AC191" i="105"/>
  <c r="AC193" i="105" s="1"/>
  <c r="AB191" i="105"/>
  <c r="AB193" i="105" s="1"/>
  <c r="AA191" i="105"/>
  <c r="AA193" i="105" s="1"/>
  <c r="Z191" i="105"/>
  <c r="Z193" i="105" s="1"/>
  <c r="Y191" i="105"/>
  <c r="Y193" i="105" s="1"/>
  <c r="X191" i="105"/>
  <c r="X193" i="105" s="1"/>
  <c r="W191" i="105"/>
  <c r="W193" i="105" s="1"/>
  <c r="V191" i="105"/>
  <c r="V193" i="105" s="1"/>
  <c r="U191" i="105"/>
  <c r="U193" i="105" s="1"/>
  <c r="T191" i="105"/>
  <c r="T193" i="105" s="1"/>
  <c r="S191" i="105"/>
  <c r="S193" i="105" s="1"/>
  <c r="R191" i="105"/>
  <c r="R193" i="105" s="1"/>
  <c r="Q191" i="105"/>
  <c r="Q193" i="105" s="1"/>
  <c r="P191" i="105"/>
  <c r="P193" i="105" s="1"/>
  <c r="O191" i="105"/>
  <c r="O193" i="105" s="1"/>
  <c r="N191" i="105"/>
  <c r="N193" i="105" s="1"/>
  <c r="M191" i="105"/>
  <c r="M193" i="105" s="1"/>
  <c r="L191" i="105"/>
  <c r="L193" i="105" s="1"/>
  <c r="K191" i="105"/>
  <c r="K193" i="105" s="1"/>
  <c r="J191" i="105"/>
  <c r="J193" i="105" s="1"/>
  <c r="I191" i="105"/>
  <c r="I193" i="105" s="1"/>
  <c r="H191" i="105"/>
  <c r="H193" i="105" s="1"/>
  <c r="G191" i="105"/>
  <c r="G193" i="105" s="1"/>
  <c r="F191" i="105"/>
  <c r="F193" i="105" s="1"/>
  <c r="E191" i="105"/>
  <c r="D191" i="105"/>
  <c r="D193" i="105" s="1"/>
  <c r="C190" i="105"/>
  <c r="C189" i="105"/>
  <c r="B188" i="105"/>
  <c r="AG186" i="105"/>
  <c r="AG306" i="105" s="1"/>
  <c r="AF186" i="105"/>
  <c r="AF306" i="105" s="1"/>
  <c r="AE186" i="105"/>
  <c r="AD186" i="105"/>
  <c r="AC186" i="105"/>
  <c r="AC306" i="105" s="1"/>
  <c r="AB186" i="105"/>
  <c r="AB306" i="105" s="1"/>
  <c r="AA186" i="105"/>
  <c r="Z186" i="105"/>
  <c r="Y186" i="105"/>
  <c r="Y306" i="105" s="1"/>
  <c r="X186" i="105"/>
  <c r="X306" i="105" s="1"/>
  <c r="W186" i="105"/>
  <c r="V186" i="105"/>
  <c r="U186" i="105"/>
  <c r="U306" i="105" s="1"/>
  <c r="T186" i="105"/>
  <c r="T306" i="105" s="1"/>
  <c r="S186" i="105"/>
  <c r="R186" i="105"/>
  <c r="Q186" i="105"/>
  <c r="Q306" i="105" s="1"/>
  <c r="P186" i="105"/>
  <c r="P306" i="105" s="1"/>
  <c r="O186" i="105"/>
  <c r="N186" i="105"/>
  <c r="M186" i="105"/>
  <c r="M306" i="105" s="1"/>
  <c r="L186" i="105"/>
  <c r="L306" i="105" s="1"/>
  <c r="K186" i="105"/>
  <c r="J186" i="105"/>
  <c r="I186" i="105"/>
  <c r="I306" i="105" s="1"/>
  <c r="H186" i="105"/>
  <c r="H306" i="105" s="1"/>
  <c r="G186" i="105"/>
  <c r="F186" i="105"/>
  <c r="E186" i="105"/>
  <c r="E306" i="105" s="1"/>
  <c r="D186" i="105"/>
  <c r="D306" i="105" s="1"/>
  <c r="C186" i="105"/>
  <c r="B186" i="105"/>
  <c r="AG185" i="105"/>
  <c r="AF185" i="105"/>
  <c r="AE185" i="105"/>
  <c r="AD185" i="105"/>
  <c r="AC185" i="105"/>
  <c r="AB185" i="105"/>
  <c r="AA185" i="105"/>
  <c r="Z185" i="105"/>
  <c r="Y185" i="105"/>
  <c r="X185" i="105"/>
  <c r="W185" i="105"/>
  <c r="V185" i="105"/>
  <c r="U185" i="105"/>
  <c r="T185" i="105"/>
  <c r="S185" i="105"/>
  <c r="R185" i="105"/>
  <c r="Q185" i="105"/>
  <c r="P185" i="105"/>
  <c r="O185" i="105"/>
  <c r="N185" i="105"/>
  <c r="M185" i="105"/>
  <c r="L185" i="105"/>
  <c r="K185" i="105"/>
  <c r="J185" i="105"/>
  <c r="I185" i="105"/>
  <c r="H185" i="105"/>
  <c r="G185" i="105"/>
  <c r="F185" i="105"/>
  <c r="E185" i="105"/>
  <c r="D185" i="105"/>
  <c r="C185" i="105"/>
  <c r="B185" i="105"/>
  <c r="B184" i="105"/>
  <c r="AG181" i="105"/>
  <c r="AF181" i="105"/>
  <c r="AE181" i="105"/>
  <c r="AD181" i="105"/>
  <c r="AC181" i="105"/>
  <c r="AB181" i="105"/>
  <c r="AA181" i="105"/>
  <c r="Z181" i="105"/>
  <c r="Y181" i="105"/>
  <c r="X181" i="105"/>
  <c r="W181" i="105"/>
  <c r="V181" i="105"/>
  <c r="U181" i="105"/>
  <c r="T181" i="105"/>
  <c r="S181" i="105"/>
  <c r="R181" i="105"/>
  <c r="Q181" i="105"/>
  <c r="P181" i="105"/>
  <c r="O181" i="105"/>
  <c r="N181" i="105"/>
  <c r="M181" i="105"/>
  <c r="L181" i="105"/>
  <c r="K181" i="105"/>
  <c r="J181" i="105"/>
  <c r="I181" i="105"/>
  <c r="H181" i="105"/>
  <c r="G181" i="105"/>
  <c r="F181" i="105"/>
  <c r="E181" i="105"/>
  <c r="D181" i="105"/>
  <c r="C180" i="105"/>
  <c r="C179" i="105"/>
  <c r="AG176" i="105"/>
  <c r="AF176" i="105"/>
  <c r="AE176" i="105"/>
  <c r="AD176" i="105"/>
  <c r="AC176" i="105"/>
  <c r="AB176" i="105"/>
  <c r="AA176" i="105"/>
  <c r="Z176" i="105"/>
  <c r="Y176" i="105"/>
  <c r="X176" i="105"/>
  <c r="W176" i="105"/>
  <c r="V176" i="105"/>
  <c r="U176" i="105"/>
  <c r="T176" i="105"/>
  <c r="S176" i="105"/>
  <c r="R176" i="105"/>
  <c r="Q176" i="105"/>
  <c r="P176" i="105"/>
  <c r="O176" i="105"/>
  <c r="N176" i="105"/>
  <c r="M176" i="105"/>
  <c r="L176" i="105"/>
  <c r="K176" i="105"/>
  <c r="J176" i="105"/>
  <c r="I176" i="105"/>
  <c r="H176" i="105"/>
  <c r="G176" i="105"/>
  <c r="F176" i="105"/>
  <c r="E176" i="105"/>
  <c r="D176" i="105"/>
  <c r="AG175" i="105"/>
  <c r="AF175" i="105"/>
  <c r="AE175" i="105"/>
  <c r="AD175" i="105"/>
  <c r="AC175" i="105"/>
  <c r="AB175" i="105"/>
  <c r="AA175" i="105"/>
  <c r="Z175" i="105"/>
  <c r="Y175" i="105"/>
  <c r="X175" i="105"/>
  <c r="W175" i="105"/>
  <c r="V175" i="105"/>
  <c r="U175" i="105"/>
  <c r="T175" i="105"/>
  <c r="S175" i="105"/>
  <c r="R175" i="105"/>
  <c r="Q175" i="105"/>
  <c r="P175" i="105"/>
  <c r="O175" i="105"/>
  <c r="N175" i="105"/>
  <c r="M175" i="105"/>
  <c r="L175" i="105"/>
  <c r="K175" i="105"/>
  <c r="J175" i="105"/>
  <c r="I175" i="105"/>
  <c r="H175" i="105"/>
  <c r="G175" i="105"/>
  <c r="F175" i="105"/>
  <c r="E175" i="105"/>
  <c r="D175" i="105"/>
  <c r="R172" i="105"/>
  <c r="Q172" i="105"/>
  <c r="N172" i="105"/>
  <c r="M172" i="105"/>
  <c r="L172" i="105"/>
  <c r="H172" i="105"/>
  <c r="AG169" i="105"/>
  <c r="AF169" i="105"/>
  <c r="AE169" i="105"/>
  <c r="AD169" i="105"/>
  <c r="AC169" i="105"/>
  <c r="AB169" i="105"/>
  <c r="AA169" i="105"/>
  <c r="Z169" i="105"/>
  <c r="Y169" i="105"/>
  <c r="X169" i="105"/>
  <c r="W169" i="105"/>
  <c r="V169" i="105"/>
  <c r="U169" i="105"/>
  <c r="T169" i="105"/>
  <c r="S169" i="105"/>
  <c r="R169" i="105"/>
  <c r="Q169" i="105"/>
  <c r="P169" i="105"/>
  <c r="O169" i="105"/>
  <c r="N169" i="105"/>
  <c r="M169" i="105"/>
  <c r="L169" i="105"/>
  <c r="K169" i="105"/>
  <c r="J169" i="105"/>
  <c r="I169" i="105"/>
  <c r="H169" i="105"/>
  <c r="G169" i="105"/>
  <c r="F169" i="105"/>
  <c r="E169" i="105"/>
  <c r="D169" i="105"/>
  <c r="AG168" i="105"/>
  <c r="AF168" i="105"/>
  <c r="AE168" i="105"/>
  <c r="AD168" i="105"/>
  <c r="AC168" i="105"/>
  <c r="AB168" i="105"/>
  <c r="AA168" i="105"/>
  <c r="Z168" i="105"/>
  <c r="Y168" i="105"/>
  <c r="X168" i="105"/>
  <c r="W168" i="105"/>
  <c r="V168" i="105"/>
  <c r="U168" i="105"/>
  <c r="T168" i="105"/>
  <c r="S168" i="105"/>
  <c r="R168" i="105"/>
  <c r="Q168" i="105"/>
  <c r="P168" i="105"/>
  <c r="O168" i="105"/>
  <c r="N168" i="105"/>
  <c r="M168" i="105"/>
  <c r="L168" i="105"/>
  <c r="K168" i="105"/>
  <c r="J168" i="105"/>
  <c r="I168" i="105"/>
  <c r="H168" i="105"/>
  <c r="G168" i="105"/>
  <c r="F168" i="105"/>
  <c r="E168" i="105"/>
  <c r="D168" i="105"/>
  <c r="AG167" i="105"/>
  <c r="AF167" i="105"/>
  <c r="AE167" i="105"/>
  <c r="AD167" i="105"/>
  <c r="AC167" i="105"/>
  <c r="AB167" i="105"/>
  <c r="AA167" i="105"/>
  <c r="Z167" i="105"/>
  <c r="Y167" i="105"/>
  <c r="X167" i="105"/>
  <c r="W167" i="105"/>
  <c r="V167" i="105"/>
  <c r="U167" i="105"/>
  <c r="T167" i="105"/>
  <c r="S167" i="105"/>
  <c r="R167" i="105"/>
  <c r="Q167" i="105"/>
  <c r="P167" i="105"/>
  <c r="O167" i="105"/>
  <c r="N167" i="105"/>
  <c r="M167" i="105"/>
  <c r="L167" i="105"/>
  <c r="K167" i="105"/>
  <c r="J167" i="105"/>
  <c r="I167" i="105"/>
  <c r="H167" i="105"/>
  <c r="G167" i="105"/>
  <c r="F167" i="105"/>
  <c r="E167" i="105"/>
  <c r="D167" i="105"/>
  <c r="AG166" i="105"/>
  <c r="AG305" i="105" s="1"/>
  <c r="AF166" i="105"/>
  <c r="AF305" i="105" s="1"/>
  <c r="AE166" i="105"/>
  <c r="AE305" i="105" s="1"/>
  <c r="AD166" i="105"/>
  <c r="AD305" i="105" s="1"/>
  <c r="AC166" i="105"/>
  <c r="AC305" i="105" s="1"/>
  <c r="AB166" i="105"/>
  <c r="AB305" i="105" s="1"/>
  <c r="AA166" i="105"/>
  <c r="AA305" i="105" s="1"/>
  <c r="Z166" i="105"/>
  <c r="Z305" i="105" s="1"/>
  <c r="Y166" i="105"/>
  <c r="Y305" i="105" s="1"/>
  <c r="X166" i="105"/>
  <c r="X305" i="105" s="1"/>
  <c r="W166" i="105"/>
  <c r="W305" i="105" s="1"/>
  <c r="V166" i="105"/>
  <c r="V305" i="105" s="1"/>
  <c r="U166" i="105"/>
  <c r="U305" i="105" s="1"/>
  <c r="T166" i="105"/>
  <c r="T305" i="105" s="1"/>
  <c r="S166" i="105"/>
  <c r="S305" i="105" s="1"/>
  <c r="R166" i="105"/>
  <c r="R305" i="105" s="1"/>
  <c r="Q166" i="105"/>
  <c r="Q305" i="105" s="1"/>
  <c r="P166" i="105"/>
  <c r="P305" i="105" s="1"/>
  <c r="O166" i="105"/>
  <c r="O305" i="105" s="1"/>
  <c r="N166" i="105"/>
  <c r="N305" i="105" s="1"/>
  <c r="M166" i="105"/>
  <c r="M305" i="105" s="1"/>
  <c r="L166" i="105"/>
  <c r="L305" i="105" s="1"/>
  <c r="K166" i="105"/>
  <c r="K305" i="105" s="1"/>
  <c r="J166" i="105"/>
  <c r="J305" i="105" s="1"/>
  <c r="I166" i="105"/>
  <c r="I305" i="105" s="1"/>
  <c r="H166" i="105"/>
  <c r="H305" i="105" s="1"/>
  <c r="G166" i="105"/>
  <c r="G305" i="105" s="1"/>
  <c r="F166" i="105"/>
  <c r="F305" i="105" s="1"/>
  <c r="E166" i="105"/>
  <c r="E305" i="105" s="1"/>
  <c r="D166" i="105"/>
  <c r="D305" i="105" s="1"/>
  <c r="AG165" i="105"/>
  <c r="AG304" i="105" s="1"/>
  <c r="AF165" i="105"/>
  <c r="AF304" i="105" s="1"/>
  <c r="AE165" i="105"/>
  <c r="AE304" i="105" s="1"/>
  <c r="AD165" i="105"/>
  <c r="AD304" i="105" s="1"/>
  <c r="AC165" i="105"/>
  <c r="AC304" i="105" s="1"/>
  <c r="AB165" i="105"/>
  <c r="AB304" i="105" s="1"/>
  <c r="AA165" i="105"/>
  <c r="AA304" i="105" s="1"/>
  <c r="Z165" i="105"/>
  <c r="Z304" i="105" s="1"/>
  <c r="Y165" i="105"/>
  <c r="Y304" i="105" s="1"/>
  <c r="X165" i="105"/>
  <c r="X304" i="105" s="1"/>
  <c r="W165" i="105"/>
  <c r="W304" i="105" s="1"/>
  <c r="V165" i="105"/>
  <c r="V304" i="105" s="1"/>
  <c r="U165" i="105"/>
  <c r="U304" i="105" s="1"/>
  <c r="T165" i="105"/>
  <c r="T304" i="105" s="1"/>
  <c r="S165" i="105"/>
  <c r="S304" i="105" s="1"/>
  <c r="R165" i="105"/>
  <c r="R304" i="105" s="1"/>
  <c r="Q165" i="105"/>
  <c r="Q304" i="105" s="1"/>
  <c r="P165" i="105"/>
  <c r="P304" i="105" s="1"/>
  <c r="O165" i="105"/>
  <c r="O304" i="105" s="1"/>
  <c r="N165" i="105"/>
  <c r="N304" i="105" s="1"/>
  <c r="M165" i="105"/>
  <c r="M304" i="105" s="1"/>
  <c r="L165" i="105"/>
  <c r="L304" i="105" s="1"/>
  <c r="K165" i="105"/>
  <c r="K304" i="105" s="1"/>
  <c r="J165" i="105"/>
  <c r="J304" i="105" s="1"/>
  <c r="I165" i="105"/>
  <c r="I304" i="105" s="1"/>
  <c r="H165" i="105"/>
  <c r="H304" i="105" s="1"/>
  <c r="G165" i="105"/>
  <c r="G304" i="105" s="1"/>
  <c r="F165" i="105"/>
  <c r="F304" i="105" s="1"/>
  <c r="E165" i="105"/>
  <c r="E304" i="105" s="1"/>
  <c r="D165" i="105"/>
  <c r="D304" i="105" s="1"/>
  <c r="AG164" i="105"/>
  <c r="AF164" i="105"/>
  <c r="AF303" i="105" s="1"/>
  <c r="AE164" i="105"/>
  <c r="AE200" i="105" s="1"/>
  <c r="AD164" i="105"/>
  <c r="AD303" i="105" s="1"/>
  <c r="AC164" i="105"/>
  <c r="AB164" i="105"/>
  <c r="AB303" i="105" s="1"/>
  <c r="AA164" i="105"/>
  <c r="AA303" i="105" s="1"/>
  <c r="Z164" i="105"/>
  <c r="Y164" i="105"/>
  <c r="X164" i="105"/>
  <c r="X303" i="105" s="1"/>
  <c r="W164" i="105"/>
  <c r="W200" i="105" s="1"/>
  <c r="V164" i="105"/>
  <c r="U164" i="105"/>
  <c r="T164" i="105"/>
  <c r="T303" i="105" s="1"/>
  <c r="S164" i="105"/>
  <c r="S303" i="105" s="1"/>
  <c r="R164" i="105"/>
  <c r="Q164" i="105"/>
  <c r="P164" i="105"/>
  <c r="P303" i="105" s="1"/>
  <c r="O164" i="105"/>
  <c r="O200" i="105" s="1"/>
  <c r="N164" i="105"/>
  <c r="N303" i="105" s="1"/>
  <c r="M164" i="105"/>
  <c r="L164" i="105"/>
  <c r="L303" i="105" s="1"/>
  <c r="K164" i="105"/>
  <c r="K303" i="105" s="1"/>
  <c r="J164" i="105"/>
  <c r="I164" i="105"/>
  <c r="H164" i="105"/>
  <c r="H303" i="105" s="1"/>
  <c r="G164" i="105"/>
  <c r="G200" i="105" s="1"/>
  <c r="F164" i="105"/>
  <c r="E164" i="105"/>
  <c r="E303" i="105" s="1"/>
  <c r="D164" i="105"/>
  <c r="D303" i="105" s="1"/>
  <c r="B155" i="105"/>
  <c r="AG154" i="105"/>
  <c r="AF154" i="105"/>
  <c r="AE154" i="105"/>
  <c r="AD154" i="105"/>
  <c r="AC154" i="105"/>
  <c r="AB154" i="105"/>
  <c r="AA154" i="105"/>
  <c r="Z154" i="105"/>
  <c r="Y154" i="105"/>
  <c r="X154" i="105"/>
  <c r="W154" i="105"/>
  <c r="V154" i="105"/>
  <c r="U154" i="105"/>
  <c r="T154" i="105"/>
  <c r="S154" i="105"/>
  <c r="R154" i="105"/>
  <c r="Q154" i="105"/>
  <c r="P154" i="105"/>
  <c r="O154" i="105"/>
  <c r="N154" i="105"/>
  <c r="M154" i="105"/>
  <c r="L154" i="105"/>
  <c r="K154" i="105"/>
  <c r="J154" i="105"/>
  <c r="I154" i="105"/>
  <c r="H154" i="105"/>
  <c r="G154" i="105"/>
  <c r="F154" i="105"/>
  <c r="E154" i="105"/>
  <c r="D154" i="105"/>
  <c r="C154" i="105"/>
  <c r="AG153" i="105"/>
  <c r="AF153" i="105"/>
  <c r="AE153" i="105"/>
  <c r="AD153" i="105"/>
  <c r="AC153" i="105"/>
  <c r="AB153" i="105"/>
  <c r="AA153" i="105"/>
  <c r="Z153" i="105"/>
  <c r="Y153" i="105"/>
  <c r="X153" i="105"/>
  <c r="W153" i="105"/>
  <c r="V153" i="105"/>
  <c r="U153" i="105"/>
  <c r="T153" i="105"/>
  <c r="S153" i="105"/>
  <c r="R153" i="105"/>
  <c r="Q153" i="105"/>
  <c r="P153" i="105"/>
  <c r="O153" i="105"/>
  <c r="N153" i="105"/>
  <c r="M153" i="105"/>
  <c r="L153" i="105"/>
  <c r="K153" i="105"/>
  <c r="J153" i="105"/>
  <c r="I153" i="105"/>
  <c r="H153" i="105"/>
  <c r="G153" i="105"/>
  <c r="F153" i="105"/>
  <c r="E153" i="105"/>
  <c r="D153" i="105"/>
  <c r="C153" i="105"/>
  <c r="AG152" i="105"/>
  <c r="AF152" i="105"/>
  <c r="AE152" i="105"/>
  <c r="AD152" i="105"/>
  <c r="AC152" i="105"/>
  <c r="AB152" i="105"/>
  <c r="AA152" i="105"/>
  <c r="Z152" i="105"/>
  <c r="Y152" i="105"/>
  <c r="X152" i="105"/>
  <c r="W152" i="105"/>
  <c r="V152" i="105"/>
  <c r="U152" i="105"/>
  <c r="T152" i="105"/>
  <c r="S152" i="105"/>
  <c r="R152" i="105"/>
  <c r="Q152" i="105"/>
  <c r="P152" i="105"/>
  <c r="O152" i="105"/>
  <c r="N152" i="105"/>
  <c r="M152" i="105"/>
  <c r="L152" i="105"/>
  <c r="K152" i="105"/>
  <c r="J152" i="105"/>
  <c r="I152" i="105"/>
  <c r="H152" i="105"/>
  <c r="G152" i="105"/>
  <c r="F152" i="105"/>
  <c r="E152" i="105"/>
  <c r="D152" i="105"/>
  <c r="C152" i="105"/>
  <c r="AG151" i="105"/>
  <c r="AF151" i="105"/>
  <c r="AE151" i="105"/>
  <c r="AD151" i="105"/>
  <c r="AC151" i="105"/>
  <c r="AB151" i="105"/>
  <c r="AA151" i="105"/>
  <c r="Z151" i="105"/>
  <c r="Y151" i="105"/>
  <c r="X151" i="105"/>
  <c r="W151" i="105"/>
  <c r="V151" i="105"/>
  <c r="U151" i="105"/>
  <c r="T151" i="105"/>
  <c r="S151" i="105"/>
  <c r="R151" i="105"/>
  <c r="Q151" i="105"/>
  <c r="P151" i="105"/>
  <c r="O151" i="105"/>
  <c r="N151" i="105"/>
  <c r="M151" i="105"/>
  <c r="L151" i="105"/>
  <c r="K151" i="105"/>
  <c r="J151" i="105"/>
  <c r="I151" i="105"/>
  <c r="H151" i="105"/>
  <c r="G151" i="105"/>
  <c r="F151" i="105"/>
  <c r="E151" i="105"/>
  <c r="D151" i="105"/>
  <c r="C151" i="105"/>
  <c r="AG147" i="105"/>
  <c r="AG157" i="105" s="1"/>
  <c r="AF147" i="105"/>
  <c r="AF157" i="105" s="1"/>
  <c r="AE147" i="105"/>
  <c r="AE157" i="105" s="1"/>
  <c r="AD147" i="105"/>
  <c r="AD157" i="105" s="1"/>
  <c r="AC147" i="105"/>
  <c r="AC157" i="105" s="1"/>
  <c r="AB147" i="105"/>
  <c r="AB157" i="105" s="1"/>
  <c r="AA147" i="105"/>
  <c r="AA157" i="105" s="1"/>
  <c r="Z147" i="105"/>
  <c r="Z157" i="105" s="1"/>
  <c r="Y147" i="105"/>
  <c r="Y157" i="105" s="1"/>
  <c r="X147" i="105"/>
  <c r="X157" i="105" s="1"/>
  <c r="W147" i="105"/>
  <c r="W157" i="105" s="1"/>
  <c r="V147" i="105"/>
  <c r="V157" i="105" s="1"/>
  <c r="U147" i="105"/>
  <c r="U157" i="105" s="1"/>
  <c r="T147" i="105"/>
  <c r="T157" i="105" s="1"/>
  <c r="S147" i="105"/>
  <c r="S157" i="105" s="1"/>
  <c r="R147" i="105"/>
  <c r="R157" i="105" s="1"/>
  <c r="Q147" i="105"/>
  <c r="Q157" i="105" s="1"/>
  <c r="P147" i="105"/>
  <c r="P157" i="105" s="1"/>
  <c r="O147" i="105"/>
  <c r="O157" i="105" s="1"/>
  <c r="N147" i="105"/>
  <c r="N157" i="105" s="1"/>
  <c r="M147" i="105"/>
  <c r="M157" i="105" s="1"/>
  <c r="L147" i="105"/>
  <c r="L157" i="105" s="1"/>
  <c r="K147" i="105"/>
  <c r="K157" i="105" s="1"/>
  <c r="J147" i="105"/>
  <c r="J157" i="105" s="1"/>
  <c r="I147" i="105"/>
  <c r="I157" i="105" s="1"/>
  <c r="H147" i="105"/>
  <c r="H157" i="105" s="1"/>
  <c r="G147" i="105"/>
  <c r="G157" i="105" s="1"/>
  <c r="F147" i="105"/>
  <c r="F157" i="105" s="1"/>
  <c r="E147" i="105"/>
  <c r="D147" i="105"/>
  <c r="D157" i="105" s="1"/>
  <c r="C146" i="105"/>
  <c r="C145" i="105"/>
  <c r="C144" i="105"/>
  <c r="AG139" i="105"/>
  <c r="AG156" i="105" s="1"/>
  <c r="AF139" i="105"/>
  <c r="AF156" i="105" s="1"/>
  <c r="AE139" i="105"/>
  <c r="AE156" i="105" s="1"/>
  <c r="AD139" i="105"/>
  <c r="AD156" i="105" s="1"/>
  <c r="AC139" i="105"/>
  <c r="AC156" i="105" s="1"/>
  <c r="AB139" i="105"/>
  <c r="AB156" i="105" s="1"/>
  <c r="AA139" i="105"/>
  <c r="AA156" i="105" s="1"/>
  <c r="Z139" i="105"/>
  <c r="Z156" i="105" s="1"/>
  <c r="Y139" i="105"/>
  <c r="Y156" i="105" s="1"/>
  <c r="X139" i="105"/>
  <c r="X156" i="105" s="1"/>
  <c r="W139" i="105"/>
  <c r="W156" i="105" s="1"/>
  <c r="V139" i="105"/>
  <c r="V156" i="105" s="1"/>
  <c r="U139" i="105"/>
  <c r="U156" i="105" s="1"/>
  <c r="T139" i="105"/>
  <c r="T156" i="105" s="1"/>
  <c r="S139" i="105"/>
  <c r="S156" i="105" s="1"/>
  <c r="R139" i="105"/>
  <c r="R156" i="105" s="1"/>
  <c r="Q139" i="105"/>
  <c r="Q156" i="105" s="1"/>
  <c r="O139" i="105"/>
  <c r="O156" i="105" s="1"/>
  <c r="N139" i="105"/>
  <c r="N156" i="105" s="1"/>
  <c r="M139" i="105"/>
  <c r="M156" i="105" s="1"/>
  <c r="L139" i="105"/>
  <c r="L156" i="105" s="1"/>
  <c r="K139" i="105"/>
  <c r="K156" i="105" s="1"/>
  <c r="J139" i="105"/>
  <c r="J156" i="105" s="1"/>
  <c r="I139" i="105"/>
  <c r="I156" i="105" s="1"/>
  <c r="H139" i="105"/>
  <c r="H156" i="105" s="1"/>
  <c r="G139" i="105"/>
  <c r="G156" i="105" s="1"/>
  <c r="F139" i="105"/>
  <c r="F156" i="105" s="1"/>
  <c r="E139" i="105"/>
  <c r="E156" i="105" s="1"/>
  <c r="C138" i="105"/>
  <c r="C137" i="105"/>
  <c r="C136" i="105"/>
  <c r="C134" i="105"/>
  <c r="C133" i="105"/>
  <c r="C132" i="105"/>
  <c r="C131" i="105"/>
  <c r="C129" i="105"/>
  <c r="C128" i="105"/>
  <c r="C127" i="105"/>
  <c r="C125" i="105"/>
  <c r="C124" i="105"/>
  <c r="C122" i="105"/>
  <c r="C121" i="105"/>
  <c r="C118" i="105"/>
  <c r="C117" i="105"/>
  <c r="C116" i="105"/>
  <c r="C115" i="105"/>
  <c r="C112" i="105"/>
  <c r="C111" i="105"/>
  <c r="C110" i="105"/>
  <c r="C108" i="105"/>
  <c r="C107" i="105"/>
  <c r="C106" i="105"/>
  <c r="C105" i="105"/>
  <c r="D103" i="105"/>
  <c r="C103" i="105" s="1"/>
  <c r="D102" i="105"/>
  <c r="C102" i="105" s="1"/>
  <c r="D101" i="105"/>
  <c r="C101" i="105" s="1"/>
  <c r="D100" i="105"/>
  <c r="C100" i="105" s="1"/>
  <c r="D98" i="105"/>
  <c r="C98" i="105" s="1"/>
  <c r="D97" i="105"/>
  <c r="C97" i="105" s="1"/>
  <c r="D96" i="105"/>
  <c r="C96" i="105" s="1"/>
  <c r="D95" i="105"/>
  <c r="C95" i="105" s="1"/>
  <c r="D93" i="105"/>
  <c r="C93" i="105" s="1"/>
  <c r="D92" i="105"/>
  <c r="C92" i="105" s="1"/>
  <c r="D91" i="105"/>
  <c r="C91" i="105" s="1"/>
  <c r="D89" i="105"/>
  <c r="C89" i="105" s="1"/>
  <c r="D88" i="105"/>
  <c r="C88" i="105" s="1"/>
  <c r="D87" i="105"/>
  <c r="C84" i="105"/>
  <c r="C83" i="105"/>
  <c r="C82" i="105"/>
  <c r="C80" i="105"/>
  <c r="C79" i="105"/>
  <c r="C78" i="105"/>
  <c r="C76" i="105"/>
  <c r="C75" i="105"/>
  <c r="C74" i="105"/>
  <c r="C73" i="105"/>
  <c r="C72" i="105"/>
  <c r="C69" i="105"/>
  <c r="C68" i="105"/>
  <c r="C67" i="105"/>
  <c r="C66" i="105"/>
  <c r="C64" i="105"/>
  <c r="C63" i="105"/>
  <c r="C62" i="105"/>
  <c r="C60" i="105"/>
  <c r="P59" i="105"/>
  <c r="C59" i="105" s="1"/>
  <c r="P58" i="105"/>
  <c r="C58" i="105" s="1"/>
  <c r="P57" i="105"/>
  <c r="C57" i="105" s="1"/>
  <c r="AG49" i="105"/>
  <c r="AF49" i="105"/>
  <c r="AE49" i="105"/>
  <c r="AD49" i="105"/>
  <c r="AC49" i="105"/>
  <c r="AB49" i="105"/>
  <c r="AA49" i="105"/>
  <c r="Z49" i="105"/>
  <c r="Y49" i="105"/>
  <c r="X49" i="105"/>
  <c r="W49" i="105"/>
  <c r="V49" i="105"/>
  <c r="U49" i="105"/>
  <c r="T49" i="105"/>
  <c r="S49" i="105"/>
  <c r="R49" i="105"/>
  <c r="Q49" i="105"/>
  <c r="P49" i="105"/>
  <c r="O49" i="105"/>
  <c r="N49" i="105"/>
  <c r="M49" i="105"/>
  <c r="L49" i="105"/>
  <c r="K49" i="105"/>
  <c r="J49" i="105"/>
  <c r="I49" i="105"/>
  <c r="H49" i="105"/>
  <c r="G49" i="105"/>
  <c r="F49" i="105"/>
  <c r="E49" i="105"/>
  <c r="D49" i="105"/>
  <c r="C49" i="105"/>
  <c r="AG46" i="105"/>
  <c r="AF46" i="105"/>
  <c r="AE46" i="105"/>
  <c r="AD46" i="105"/>
  <c r="AC46" i="105"/>
  <c r="AB46" i="105"/>
  <c r="AA46" i="105"/>
  <c r="Z46" i="105"/>
  <c r="Y46" i="105"/>
  <c r="X46" i="105"/>
  <c r="W46" i="105"/>
  <c r="V46" i="105"/>
  <c r="U46" i="105"/>
  <c r="T46" i="105"/>
  <c r="S46" i="105"/>
  <c r="R46" i="105"/>
  <c r="Q46" i="105"/>
  <c r="P46" i="105"/>
  <c r="O46" i="105"/>
  <c r="N46" i="105"/>
  <c r="M46" i="105"/>
  <c r="L46" i="105"/>
  <c r="K46" i="105"/>
  <c r="J46" i="105"/>
  <c r="I46" i="105"/>
  <c r="H46" i="105"/>
  <c r="G46" i="105"/>
  <c r="F46" i="105"/>
  <c r="E46" i="105"/>
  <c r="D46" i="105"/>
  <c r="C46" i="105"/>
  <c r="AF39" i="105"/>
  <c r="AF155" i="105" s="1"/>
  <c r="C38" i="105"/>
  <c r="AG37" i="105"/>
  <c r="AG39" i="105" s="1"/>
  <c r="AE37" i="105"/>
  <c r="AE39" i="105" s="1"/>
  <c r="AD37" i="105"/>
  <c r="AD39" i="105" s="1"/>
  <c r="AD155" i="105" s="1"/>
  <c r="AC37" i="105"/>
  <c r="AC39" i="105" s="1"/>
  <c r="AC50" i="105" s="1"/>
  <c r="AB37" i="105"/>
  <c r="AB39" i="105" s="1"/>
  <c r="AB155" i="105" s="1"/>
  <c r="AA37" i="105"/>
  <c r="AA39" i="105" s="1"/>
  <c r="Z37" i="105"/>
  <c r="Z39" i="105" s="1"/>
  <c r="Z155" i="105" s="1"/>
  <c r="Y37" i="105"/>
  <c r="Y39" i="105" s="1"/>
  <c r="X37" i="105"/>
  <c r="X39" i="105" s="1"/>
  <c r="X155" i="105" s="1"/>
  <c r="W37" i="105"/>
  <c r="W39" i="105" s="1"/>
  <c r="V37" i="105"/>
  <c r="V39" i="105" s="1"/>
  <c r="V155" i="105" s="1"/>
  <c r="U37" i="105"/>
  <c r="U39" i="105" s="1"/>
  <c r="U50" i="105" s="1"/>
  <c r="T37" i="105"/>
  <c r="T39" i="105" s="1"/>
  <c r="T155" i="105" s="1"/>
  <c r="S37" i="105"/>
  <c r="S39" i="105" s="1"/>
  <c r="R37" i="105"/>
  <c r="R39" i="105" s="1"/>
  <c r="R155" i="105" s="1"/>
  <c r="Q37" i="105"/>
  <c r="Q39" i="105" s="1"/>
  <c r="P37" i="105"/>
  <c r="P39" i="105" s="1"/>
  <c r="P155" i="105" s="1"/>
  <c r="O37" i="105"/>
  <c r="O39" i="105" s="1"/>
  <c r="N37" i="105"/>
  <c r="N39" i="105" s="1"/>
  <c r="N155" i="105" s="1"/>
  <c r="M37" i="105"/>
  <c r="M39" i="105" s="1"/>
  <c r="M50" i="105" s="1"/>
  <c r="L37" i="105"/>
  <c r="L39" i="105" s="1"/>
  <c r="L155" i="105" s="1"/>
  <c r="K37" i="105"/>
  <c r="K39" i="105" s="1"/>
  <c r="J37" i="105"/>
  <c r="J39" i="105" s="1"/>
  <c r="J155" i="105" s="1"/>
  <c r="I37" i="105"/>
  <c r="I39" i="105" s="1"/>
  <c r="H37" i="105"/>
  <c r="H39" i="105" s="1"/>
  <c r="H155" i="105" s="1"/>
  <c r="G37" i="105"/>
  <c r="G39" i="105" s="1"/>
  <c r="F37" i="105"/>
  <c r="F39" i="105" s="1"/>
  <c r="F155" i="105" s="1"/>
  <c r="E37" i="105"/>
  <c r="E39" i="105" s="1"/>
  <c r="E50" i="105" s="1"/>
  <c r="D37" i="105"/>
  <c r="C36" i="105"/>
  <c r="C35" i="105"/>
  <c r="AG26" i="105"/>
  <c r="AF26" i="105"/>
  <c r="AE26" i="105"/>
  <c r="AD26" i="105"/>
  <c r="AC26" i="105"/>
  <c r="AB26" i="105"/>
  <c r="AA26" i="105"/>
  <c r="Z26" i="105"/>
  <c r="Y26" i="105"/>
  <c r="X26" i="105"/>
  <c r="W26" i="105"/>
  <c r="V26" i="105"/>
  <c r="U26" i="105"/>
  <c r="T26" i="105"/>
  <c r="S26" i="105"/>
  <c r="R26" i="105"/>
  <c r="Q26" i="105"/>
  <c r="O26" i="105"/>
  <c r="N26" i="105"/>
  <c r="M26" i="105"/>
  <c r="L26" i="105"/>
  <c r="K26" i="105"/>
  <c r="J26" i="105"/>
  <c r="I26" i="105"/>
  <c r="H26" i="105"/>
  <c r="G26" i="105"/>
  <c r="F26" i="105"/>
  <c r="E26" i="105"/>
  <c r="D26" i="105"/>
  <c r="C25" i="105"/>
  <c r="P24" i="105"/>
  <c r="R17" i="105"/>
  <c r="Q17" i="105"/>
  <c r="P17" i="105"/>
  <c r="L17" i="105"/>
  <c r="H17" i="105"/>
  <c r="AB203" i="105" l="1"/>
  <c r="C299" i="105"/>
  <c r="C309" i="105" s="1"/>
  <c r="X200" i="105"/>
  <c r="R50" i="105"/>
  <c r="AF158" i="105"/>
  <c r="D203" i="105"/>
  <c r="V50" i="105"/>
  <c r="L203" i="105"/>
  <c r="AF50" i="105"/>
  <c r="C191" i="105"/>
  <c r="T203" i="105"/>
  <c r="D292" i="105"/>
  <c r="D308" i="105" s="1"/>
  <c r="H158" i="105"/>
  <c r="AB158" i="105"/>
  <c r="C181" i="105"/>
  <c r="AE303" i="105"/>
  <c r="C17" i="105"/>
  <c r="J50" i="105"/>
  <c r="Z50" i="105"/>
  <c r="P139" i="105"/>
  <c r="P156" i="105" s="1"/>
  <c r="P158" i="105" s="1"/>
  <c r="C172" i="105"/>
  <c r="H200" i="105"/>
  <c r="H203" i="105"/>
  <c r="X203" i="105"/>
  <c r="D309" i="105"/>
  <c r="F158" i="105"/>
  <c r="L158" i="105"/>
  <c r="T158" i="105"/>
  <c r="X158" i="105"/>
  <c r="D200" i="105"/>
  <c r="N158" i="105"/>
  <c r="N50" i="105"/>
  <c r="AD50" i="105"/>
  <c r="S200" i="105"/>
  <c r="I203" i="105"/>
  <c r="Y203" i="105"/>
  <c r="C240" i="105"/>
  <c r="O303" i="105"/>
  <c r="AG50" i="105"/>
  <c r="AG155" i="105"/>
  <c r="AG158" i="105" s="1"/>
  <c r="I50" i="105"/>
  <c r="I155" i="105"/>
  <c r="I158" i="105" s="1"/>
  <c r="Q50" i="105"/>
  <c r="Q155" i="105"/>
  <c r="Q158" i="105" s="1"/>
  <c r="Y50" i="105"/>
  <c r="Y155" i="105"/>
  <c r="Y158" i="105" s="1"/>
  <c r="I307" i="105"/>
  <c r="I310" i="105" s="1"/>
  <c r="I204" i="105"/>
  <c r="M307" i="105"/>
  <c r="M310" i="105" s="1"/>
  <c r="M204" i="105"/>
  <c r="Q307" i="105"/>
  <c r="Q310" i="105" s="1"/>
  <c r="Q204" i="105"/>
  <c r="U307" i="105"/>
  <c r="U310" i="105" s="1"/>
  <c r="U204" i="105"/>
  <c r="Y307" i="105"/>
  <c r="Y310" i="105" s="1"/>
  <c r="Y204" i="105"/>
  <c r="AC307" i="105"/>
  <c r="AC310" i="105" s="1"/>
  <c r="AC204" i="105"/>
  <c r="AG307" i="105"/>
  <c r="AG310" i="105" s="1"/>
  <c r="AG204" i="105"/>
  <c r="D39" i="105"/>
  <c r="C37" i="105"/>
  <c r="P50" i="105"/>
  <c r="G155" i="105"/>
  <c r="G158" i="105" s="1"/>
  <c r="G50" i="105"/>
  <c r="O155" i="105"/>
  <c r="O158" i="105" s="1"/>
  <c r="O50" i="105"/>
  <c r="W155" i="105"/>
  <c r="W158" i="105" s="1"/>
  <c r="W50" i="105"/>
  <c r="AE155" i="105"/>
  <c r="AE158" i="105" s="1"/>
  <c r="AE50" i="105"/>
  <c r="P26" i="105"/>
  <c r="C26" i="105" s="1"/>
  <c r="C24" i="105"/>
  <c r="J158" i="105"/>
  <c r="R158" i="105"/>
  <c r="V158" i="105"/>
  <c r="Z158" i="105"/>
  <c r="AD158" i="105"/>
  <c r="L50" i="105"/>
  <c r="T50" i="105"/>
  <c r="AB50" i="105"/>
  <c r="D139" i="105"/>
  <c r="C87" i="105"/>
  <c r="E155" i="105"/>
  <c r="E158" i="105" s="1"/>
  <c r="U155" i="105"/>
  <c r="U158" i="105" s="1"/>
  <c r="C203" i="105"/>
  <c r="C306" i="105"/>
  <c r="G203" i="105"/>
  <c r="G306" i="105"/>
  <c r="K306" i="105"/>
  <c r="K203" i="105"/>
  <c r="O306" i="105"/>
  <c r="O203" i="105"/>
  <c r="S203" i="105"/>
  <c r="S306" i="105"/>
  <c r="W203" i="105"/>
  <c r="W306" i="105"/>
  <c r="AA306" i="105"/>
  <c r="AA203" i="105"/>
  <c r="AE306" i="105"/>
  <c r="AE203" i="105"/>
  <c r="F307" i="105"/>
  <c r="F310" i="105" s="1"/>
  <c r="F204" i="105"/>
  <c r="J307" i="105"/>
  <c r="J310" i="105" s="1"/>
  <c r="J204" i="105"/>
  <c r="N307" i="105"/>
  <c r="N310" i="105" s="1"/>
  <c r="N204" i="105"/>
  <c r="R307" i="105"/>
  <c r="R310" i="105" s="1"/>
  <c r="R204" i="105"/>
  <c r="V307" i="105"/>
  <c r="V310" i="105" s="1"/>
  <c r="V204" i="105"/>
  <c r="Z307" i="105"/>
  <c r="Z310" i="105" s="1"/>
  <c r="Z204" i="105"/>
  <c r="AD307" i="105"/>
  <c r="AD310" i="105" s="1"/>
  <c r="AD204" i="105"/>
  <c r="X50" i="105"/>
  <c r="E157" i="105"/>
  <c r="C147" i="105"/>
  <c r="C157" i="105" s="1"/>
  <c r="K155" i="105"/>
  <c r="K158" i="105" s="1"/>
  <c r="K50" i="105"/>
  <c r="S155" i="105"/>
  <c r="S158" i="105" s="1"/>
  <c r="S50" i="105"/>
  <c r="AA155" i="105"/>
  <c r="AA158" i="105" s="1"/>
  <c r="AA50" i="105"/>
  <c r="F50" i="105"/>
  <c r="G204" i="105"/>
  <c r="G307" i="105"/>
  <c r="G310" i="105" s="1"/>
  <c r="K204" i="105"/>
  <c r="K307" i="105"/>
  <c r="K310" i="105" s="1"/>
  <c r="O204" i="105"/>
  <c r="O307" i="105"/>
  <c r="O310" i="105" s="1"/>
  <c r="S204" i="105"/>
  <c r="S307" i="105"/>
  <c r="S310" i="105" s="1"/>
  <c r="W204" i="105"/>
  <c r="W307" i="105"/>
  <c r="W310" i="105" s="1"/>
  <c r="AA204" i="105"/>
  <c r="AA307" i="105"/>
  <c r="AA310" i="105" s="1"/>
  <c r="AE204" i="105"/>
  <c r="AE307" i="105"/>
  <c r="AE310" i="105" s="1"/>
  <c r="E193" i="105"/>
  <c r="AD200" i="105"/>
  <c r="C292" i="105"/>
  <c r="C308" i="105" s="1"/>
  <c r="H50" i="105"/>
  <c r="M155" i="105"/>
  <c r="M158" i="105" s="1"/>
  <c r="AC155" i="105"/>
  <c r="AC158" i="105" s="1"/>
  <c r="F303" i="105"/>
  <c r="F200" i="105"/>
  <c r="J303" i="105"/>
  <c r="J200" i="105"/>
  <c r="R303" i="105"/>
  <c r="R200" i="105"/>
  <c r="V303" i="105"/>
  <c r="V200" i="105"/>
  <c r="Z303" i="105"/>
  <c r="Z200" i="105"/>
  <c r="D307" i="105"/>
  <c r="D204" i="105"/>
  <c r="H307" i="105"/>
  <c r="H310" i="105" s="1"/>
  <c r="H204" i="105"/>
  <c r="L307" i="105"/>
  <c r="L310" i="105" s="1"/>
  <c r="L204" i="105"/>
  <c r="P307" i="105"/>
  <c r="P310" i="105" s="1"/>
  <c r="P204" i="105"/>
  <c r="T307" i="105"/>
  <c r="T310" i="105" s="1"/>
  <c r="T204" i="105"/>
  <c r="X307" i="105"/>
  <c r="X310" i="105" s="1"/>
  <c r="X204" i="105"/>
  <c r="AB307" i="105"/>
  <c r="AB310" i="105" s="1"/>
  <c r="AB204" i="105"/>
  <c r="AF307" i="105"/>
  <c r="AF310" i="105" s="1"/>
  <c r="AF204" i="105"/>
  <c r="N200" i="105"/>
  <c r="E200" i="105"/>
  <c r="T200" i="105"/>
  <c r="E203" i="105"/>
  <c r="P203" i="105"/>
  <c r="U203" i="105"/>
  <c r="AF203" i="105"/>
  <c r="K200" i="105"/>
  <c r="P200" i="105"/>
  <c r="AA200" i="105"/>
  <c r="AF200" i="105"/>
  <c r="Q203" i="105"/>
  <c r="AG203" i="105"/>
  <c r="G303" i="105"/>
  <c r="W303" i="105"/>
  <c r="I303" i="105"/>
  <c r="I200" i="105"/>
  <c r="M303" i="105"/>
  <c r="M200" i="105"/>
  <c r="Q303" i="105"/>
  <c r="Q200" i="105"/>
  <c r="U303" i="105"/>
  <c r="U200" i="105"/>
  <c r="Y303" i="105"/>
  <c r="Y200" i="105"/>
  <c r="AC303" i="105"/>
  <c r="AC200" i="105"/>
  <c r="AG303" i="105"/>
  <c r="AG200" i="105"/>
  <c r="F306" i="105"/>
  <c r="F203" i="105"/>
  <c r="J306" i="105"/>
  <c r="J203" i="105"/>
  <c r="N306" i="105"/>
  <c r="N203" i="105"/>
  <c r="R306" i="105"/>
  <c r="R203" i="105"/>
  <c r="V306" i="105"/>
  <c r="V203" i="105"/>
  <c r="Z306" i="105"/>
  <c r="Z203" i="105"/>
  <c r="AD306" i="105"/>
  <c r="AD203" i="105"/>
  <c r="L200" i="105"/>
  <c r="AB200" i="105"/>
  <c r="M203" i="105"/>
  <c r="AC203" i="105"/>
  <c r="D310" i="105" l="1"/>
  <c r="D156" i="105"/>
  <c r="C139" i="105"/>
  <c r="C156" i="105" s="1"/>
  <c r="D155" i="105"/>
  <c r="D50" i="105"/>
  <c r="C39" i="105"/>
  <c r="E307" i="105"/>
  <c r="E310" i="105" s="1"/>
  <c r="E204" i="105"/>
  <c r="C193" i="105"/>
  <c r="D158" i="105" l="1"/>
  <c r="C158" i="105" s="1"/>
  <c r="C204" i="105"/>
  <c r="C307" i="105"/>
  <c r="C310" i="105" s="1"/>
  <c r="C155" i="105"/>
  <c r="C50" i="105"/>
  <c r="A7" i="89" l="1"/>
  <c r="A8" i="89" s="1"/>
  <c r="A9" i="89" s="1"/>
  <c r="A10" i="89" s="1"/>
  <c r="A11" i="89" s="1"/>
  <c r="A12" i="89" s="1"/>
  <c r="A13" i="89" s="1"/>
  <c r="A14" i="89" s="1"/>
  <c r="A15" i="89" s="1"/>
  <c r="A16" i="89" s="1"/>
  <c r="A17" i="89" s="1"/>
  <c r="A18" i="89" s="1"/>
  <c r="A19" i="89" s="1"/>
  <c r="A20" i="89" s="1"/>
  <c r="A21" i="89" s="1"/>
  <c r="A22" i="89" s="1"/>
  <c r="A23" i="89" s="1"/>
  <c r="A24" i="89" s="1"/>
  <c r="A25" i="89" s="1"/>
  <c r="A26" i="89" s="1"/>
  <c r="A27" i="89" s="1"/>
  <c r="A28" i="89" s="1"/>
  <c r="A29" i="89" s="1"/>
  <c r="A30" i="89" s="1"/>
  <c r="A31" i="89" s="1"/>
  <c r="A32" i="89" s="1"/>
  <c r="A33" i="89" s="1"/>
  <c r="A34" i="89" s="1"/>
  <c r="A35" i="89" s="1"/>
  <c r="A36" i="89" s="1"/>
  <c r="A37" i="89" s="1"/>
  <c r="A38" i="89" s="1"/>
  <c r="A39" i="89" s="1"/>
  <c r="A40" i="89" s="1"/>
  <c r="A41" i="89" s="1"/>
  <c r="A42" i="89" s="1"/>
  <c r="A43" i="89" s="1"/>
  <c r="A44" i="89" s="1"/>
  <c r="A45" i="89" s="1"/>
  <c r="A46" i="89" s="1"/>
  <c r="A47" i="89" s="1"/>
  <c r="A48" i="89" s="1"/>
  <c r="A49" i="89" s="1"/>
  <c r="A50" i="89" s="1"/>
  <c r="A51" i="89" s="1"/>
  <c r="A52" i="89" s="1"/>
  <c r="A53" i="89" s="1"/>
  <c r="A54" i="89" s="1"/>
  <c r="A55" i="89" s="1"/>
  <c r="A56" i="89" s="1"/>
  <c r="A57" i="89" s="1"/>
  <c r="A58" i="89" s="1"/>
  <c r="A59" i="89" s="1"/>
  <c r="A60" i="89" s="1"/>
  <c r="A61" i="89" s="1"/>
  <c r="A62" i="89" s="1"/>
  <c r="A63" i="89" s="1"/>
  <c r="A64" i="89" s="1"/>
  <c r="A65" i="89" s="1"/>
  <c r="A66" i="89" s="1"/>
  <c r="A67" i="89" s="1"/>
  <c r="A68" i="89" s="1"/>
  <c r="A69" i="89" s="1"/>
  <c r="A70" i="89" s="1"/>
  <c r="A71" i="89" s="1"/>
  <c r="A72" i="89" s="1"/>
  <c r="A73" i="89" s="1"/>
  <c r="A74" i="89" s="1"/>
  <c r="A75" i="89" s="1"/>
  <c r="A76" i="89" s="1"/>
  <c r="A77" i="89" s="1"/>
  <c r="A78" i="89" s="1"/>
  <c r="A79" i="89" s="1"/>
  <c r="A80" i="89" s="1"/>
  <c r="A81" i="89" s="1"/>
  <c r="A82" i="89" s="1"/>
  <c r="A83" i="89" s="1"/>
  <c r="A84" i="89" s="1"/>
  <c r="A85" i="89" s="1"/>
  <c r="A86" i="89" s="1"/>
  <c r="A87" i="89" s="1"/>
  <c r="A88" i="89" s="1"/>
  <c r="A6" i="89"/>
  <c r="A7" i="98"/>
  <c r="A8" i="98" s="1"/>
  <c r="A9" i="98" s="1"/>
  <c r="A10" i="98" s="1"/>
  <c r="A11" i="98" s="1"/>
  <c r="A12" i="98" s="1"/>
  <c r="A13" i="98" s="1"/>
  <c r="A14" i="98" s="1"/>
  <c r="A15" i="98" s="1"/>
  <c r="A16" i="98" s="1"/>
  <c r="A17" i="98" s="1"/>
  <c r="A18" i="98" s="1"/>
  <c r="A19" i="98" s="1"/>
  <c r="A20" i="98" s="1"/>
  <c r="A21" i="98" s="1"/>
  <c r="A22" i="98" s="1"/>
  <c r="A23" i="98" s="1"/>
  <c r="A24" i="98" s="1"/>
  <c r="A25" i="98" s="1"/>
  <c r="A26" i="98" s="1"/>
  <c r="A27" i="98" s="1"/>
  <c r="A28" i="98" s="1"/>
  <c r="A29" i="98" s="1"/>
  <c r="A30" i="98" s="1"/>
  <c r="A31" i="98" s="1"/>
  <c r="A32" i="98" s="1"/>
  <c r="A33" i="98" s="1"/>
  <c r="A34" i="98" s="1"/>
  <c r="A35" i="98" s="1"/>
  <c r="A36" i="98" s="1"/>
  <c r="A37" i="98" s="1"/>
  <c r="A38" i="98" s="1"/>
  <c r="A39" i="98" s="1"/>
  <c r="A40" i="98" s="1"/>
  <c r="A41" i="98" s="1"/>
  <c r="A42" i="98" s="1"/>
  <c r="A43" i="98" s="1"/>
  <c r="A44" i="98" s="1"/>
  <c r="A45" i="98" s="1"/>
  <c r="A46" i="98" s="1"/>
  <c r="A47" i="98" s="1"/>
  <c r="A48" i="98" s="1"/>
  <c r="A49" i="98" s="1"/>
  <c r="A50" i="98" s="1"/>
  <c r="A51" i="98" s="1"/>
  <c r="A52" i="98" s="1"/>
  <c r="A53" i="98" s="1"/>
  <c r="A54" i="98" s="1"/>
  <c r="A55" i="98" s="1"/>
  <c r="A56" i="98" s="1"/>
  <c r="A57" i="98" s="1"/>
  <c r="A58" i="98" s="1"/>
  <c r="A59" i="98" s="1"/>
  <c r="A60" i="98" s="1"/>
  <c r="A61" i="98" s="1"/>
  <c r="A62" i="98" s="1"/>
  <c r="A63" i="98" s="1"/>
  <c r="A64" i="98" s="1"/>
  <c r="A65" i="98" s="1"/>
  <c r="A66" i="98" s="1"/>
  <c r="A67" i="98" s="1"/>
  <c r="A68" i="98" s="1"/>
  <c r="A69" i="98" s="1"/>
  <c r="A70" i="98" s="1"/>
  <c r="A71" i="98" s="1"/>
  <c r="A72" i="98" s="1"/>
  <c r="A73" i="98" s="1"/>
  <c r="A74" i="98" s="1"/>
  <c r="A75" i="98" s="1"/>
  <c r="A76" i="98" s="1"/>
  <c r="A77" i="98" s="1"/>
  <c r="A78" i="98" s="1"/>
  <c r="A79" i="98" s="1"/>
  <c r="A80" i="98" s="1"/>
  <c r="A81" i="98" s="1"/>
  <c r="A82" i="98" s="1"/>
  <c r="A83" i="98" s="1"/>
  <c r="A84" i="98" s="1"/>
  <c r="A85" i="98" s="1"/>
  <c r="A86" i="98" s="1"/>
  <c r="A87" i="98" s="1"/>
  <c r="A88" i="98" s="1"/>
  <c r="A6" i="98"/>
  <c r="C267" i="62" l="1"/>
  <c r="B267" i="62"/>
  <c r="A267" i="62"/>
  <c r="C265" i="62"/>
  <c r="B265" i="62"/>
  <c r="A265" i="62"/>
  <c r="C263" i="62"/>
  <c r="B263" i="62"/>
  <c r="A263" i="62"/>
  <c r="L261" i="62"/>
  <c r="C261" i="62"/>
  <c r="B261" i="62"/>
  <c r="A261" i="62"/>
  <c r="L259" i="62"/>
  <c r="C259" i="62"/>
  <c r="B259" i="62"/>
  <c r="A259" i="62"/>
  <c r="C257" i="62"/>
  <c r="A257" i="62"/>
  <c r="C255" i="62"/>
  <c r="D253" i="62"/>
  <c r="D267" i="62" s="1"/>
  <c r="C253" i="62"/>
  <c r="D251" i="62"/>
  <c r="C251" i="62"/>
  <c r="D257" i="62" l="1"/>
  <c r="D259" i="62"/>
  <c r="D255" i="62"/>
  <c r="D261" i="62"/>
  <c r="D263" i="62"/>
  <c r="D265" i="62"/>
  <c r="C33" i="93" l="1"/>
  <c r="C29" i="93"/>
  <c r="H62" i="93" l="1"/>
  <c r="H101" i="93"/>
  <c r="H100" i="93"/>
  <c r="H99" i="93"/>
  <c r="H97" i="93"/>
  <c r="H96" i="93"/>
  <c r="H95" i="93"/>
  <c r="H94" i="93"/>
  <c r="H92" i="93"/>
  <c r="H91" i="93"/>
  <c r="H90" i="93"/>
  <c r="H88" i="93"/>
  <c r="H87" i="93"/>
  <c r="H85" i="93"/>
  <c r="H84" i="93"/>
  <c r="H79" i="93"/>
  <c r="H78" i="93"/>
  <c r="H77" i="93"/>
  <c r="H76" i="93"/>
  <c r="H73" i="93"/>
  <c r="H72" i="93"/>
  <c r="H71" i="93"/>
  <c r="H69" i="93"/>
  <c r="H68" i="93"/>
  <c r="H67" i="93"/>
  <c r="H66" i="93"/>
  <c r="H64" i="93"/>
  <c r="H63" i="93"/>
  <c r="H61" i="93"/>
  <c r="H59" i="93"/>
  <c r="H58" i="93"/>
  <c r="H57" i="93"/>
  <c r="H56" i="93"/>
  <c r="H54" i="93"/>
  <c r="H53" i="93"/>
  <c r="H52" i="93"/>
  <c r="H50" i="93"/>
  <c r="H49" i="93"/>
  <c r="H48" i="93"/>
  <c r="H45" i="93"/>
  <c r="H44" i="93"/>
  <c r="H43" i="93"/>
  <c r="H41" i="93"/>
  <c r="H40" i="93"/>
  <c r="H39" i="93"/>
  <c r="H37" i="93"/>
  <c r="H36" i="93"/>
  <c r="H35" i="93"/>
  <c r="H34" i="93"/>
  <c r="H33" i="93"/>
  <c r="H30" i="93"/>
  <c r="H29" i="93"/>
  <c r="H28" i="93"/>
  <c r="H27" i="93"/>
  <c r="H25" i="93"/>
  <c r="H24" i="93"/>
  <c r="H23" i="93"/>
  <c r="H21" i="93"/>
  <c r="H20" i="93"/>
  <c r="H19" i="93"/>
  <c r="H18" i="93"/>
  <c r="D101" i="93"/>
  <c r="D100" i="93"/>
  <c r="D99" i="93"/>
  <c r="D97" i="93"/>
  <c r="D96" i="93"/>
  <c r="D95" i="93"/>
  <c r="D94" i="93"/>
  <c r="D92" i="93"/>
  <c r="D91" i="93"/>
  <c r="D90" i="93"/>
  <c r="D88" i="93"/>
  <c r="D87" i="93"/>
  <c r="D85" i="93"/>
  <c r="D84" i="93"/>
  <c r="D79" i="93"/>
  <c r="D78" i="93"/>
  <c r="D77" i="93"/>
  <c r="D76" i="93"/>
  <c r="D73" i="93"/>
  <c r="D72" i="93"/>
  <c r="D71" i="93"/>
  <c r="D69" i="93"/>
  <c r="D68" i="93"/>
  <c r="D67" i="93"/>
  <c r="D66" i="93"/>
  <c r="D64" i="93"/>
  <c r="D63" i="93"/>
  <c r="D62" i="93"/>
  <c r="D61" i="93"/>
  <c r="D59" i="93"/>
  <c r="D58" i="93"/>
  <c r="D57" i="93"/>
  <c r="D56" i="93"/>
  <c r="D54" i="93"/>
  <c r="D53" i="93"/>
  <c r="D52" i="93"/>
  <c r="D50" i="93"/>
  <c r="D49" i="93"/>
  <c r="D48" i="93"/>
  <c r="D45" i="93"/>
  <c r="D44" i="93"/>
  <c r="D43" i="93"/>
  <c r="D41" i="93"/>
  <c r="D40" i="93"/>
  <c r="D39" i="93"/>
  <c r="D37" i="93"/>
  <c r="D36" i="93"/>
  <c r="D35" i="93"/>
  <c r="D34" i="93"/>
  <c r="D33" i="93"/>
  <c r="D30" i="93"/>
  <c r="D29" i="93"/>
  <c r="D28" i="93"/>
  <c r="D27" i="93"/>
  <c r="D25" i="93"/>
  <c r="D24" i="93"/>
  <c r="D23" i="93"/>
  <c r="D21" i="93"/>
  <c r="D20" i="93"/>
  <c r="D19" i="93"/>
  <c r="D18" i="93"/>
  <c r="C100" i="93" l="1"/>
  <c r="C101" i="93"/>
  <c r="C99" i="93"/>
  <c r="C97" i="93"/>
  <c r="C96" i="93"/>
  <c r="C95" i="93"/>
  <c r="C94" i="93"/>
  <c r="C92" i="93"/>
  <c r="C91" i="93"/>
  <c r="C90" i="93"/>
  <c r="C88" i="93"/>
  <c r="C87" i="93"/>
  <c r="C85" i="93"/>
  <c r="C84" i="93"/>
  <c r="C79" i="93"/>
  <c r="C78" i="93"/>
  <c r="C77" i="93"/>
  <c r="C76" i="93"/>
  <c r="C73" i="93"/>
  <c r="C72" i="93"/>
  <c r="C71" i="93"/>
  <c r="C69" i="93"/>
  <c r="C68" i="93"/>
  <c r="C67" i="93"/>
  <c r="C66" i="93"/>
  <c r="C64" i="93"/>
  <c r="C63" i="93"/>
  <c r="C61" i="93"/>
  <c r="C62" i="93"/>
  <c r="C59" i="93"/>
  <c r="C58" i="93"/>
  <c r="C57" i="93"/>
  <c r="C56" i="93"/>
  <c r="C54" i="93"/>
  <c r="C53" i="93"/>
  <c r="C52" i="93"/>
  <c r="C50" i="93"/>
  <c r="C49" i="93"/>
  <c r="C48" i="93"/>
  <c r="C45" i="93"/>
  <c r="C44" i="93"/>
  <c r="C43" i="93"/>
  <c r="C41" i="93"/>
  <c r="C40" i="93"/>
  <c r="C39" i="93"/>
  <c r="C37" i="93"/>
  <c r="C36" i="93"/>
  <c r="C35" i="93"/>
  <c r="C34" i="93"/>
  <c r="C30" i="93"/>
  <c r="C28" i="93"/>
  <c r="C27" i="93"/>
  <c r="C25" i="93"/>
  <c r="C24" i="93"/>
  <c r="C23" i="93"/>
  <c r="C21" i="93"/>
  <c r="C20" i="93"/>
  <c r="C19" i="93"/>
  <c r="C18" i="93"/>
  <c r="Q64" i="93" l="1"/>
  <c r="I101" i="93" l="1"/>
  <c r="E101" i="93"/>
  <c r="I100" i="93"/>
  <c r="E100" i="93"/>
  <c r="I99" i="93"/>
  <c r="E99" i="93"/>
  <c r="I97" i="93"/>
  <c r="E97" i="93"/>
  <c r="I96" i="93"/>
  <c r="E96" i="93"/>
  <c r="I95" i="93"/>
  <c r="E95" i="93"/>
  <c r="I94" i="93"/>
  <c r="E94" i="93"/>
  <c r="I92" i="93" l="1"/>
  <c r="E92" i="93"/>
  <c r="I91" i="93"/>
  <c r="E91" i="93"/>
  <c r="I90" i="93"/>
  <c r="E90" i="93"/>
  <c r="I88" i="93"/>
  <c r="E88" i="93"/>
  <c r="I87" i="93"/>
  <c r="E87" i="93"/>
  <c r="I85" i="93"/>
  <c r="E85" i="93"/>
  <c r="I84" i="93"/>
  <c r="E84" i="93"/>
  <c r="I79" i="93"/>
  <c r="E79" i="93"/>
  <c r="I78" i="93"/>
  <c r="E78" i="93"/>
  <c r="I77" i="93"/>
  <c r="E77" i="93"/>
  <c r="I76" i="93"/>
  <c r="E76" i="93"/>
  <c r="I73" i="93"/>
  <c r="E73" i="93"/>
  <c r="I72" i="93"/>
  <c r="E72" i="93"/>
  <c r="I71" i="93"/>
  <c r="E71" i="93"/>
  <c r="I69" i="93"/>
  <c r="E69" i="93"/>
  <c r="I68" i="93"/>
  <c r="E68" i="93"/>
  <c r="I67" i="93"/>
  <c r="E67" i="93"/>
  <c r="I66" i="93"/>
  <c r="E66" i="93"/>
  <c r="I64" i="93"/>
  <c r="E64" i="93"/>
  <c r="I63" i="93"/>
  <c r="E63" i="93"/>
  <c r="I62" i="93"/>
  <c r="E62" i="93"/>
  <c r="I61" i="93"/>
  <c r="E61" i="93"/>
  <c r="I59" i="93"/>
  <c r="E59" i="93"/>
  <c r="I58" i="93"/>
  <c r="E58" i="93"/>
  <c r="I57" i="93"/>
  <c r="E57" i="93"/>
  <c r="I56" i="93"/>
  <c r="E56" i="93"/>
  <c r="I54" i="93"/>
  <c r="E54" i="93"/>
  <c r="I53" i="93"/>
  <c r="E53" i="93"/>
  <c r="I52" i="93"/>
  <c r="E52" i="93"/>
  <c r="I50" i="93"/>
  <c r="E50" i="93"/>
  <c r="I49" i="93"/>
  <c r="E49" i="93"/>
  <c r="I48" i="93"/>
  <c r="E48" i="93"/>
  <c r="I45" i="93"/>
  <c r="E45" i="93"/>
  <c r="I44" i="93"/>
  <c r="E44" i="93"/>
  <c r="I43" i="93"/>
  <c r="E43" i="93"/>
  <c r="I41" i="93"/>
  <c r="E41" i="93"/>
  <c r="I40" i="93"/>
  <c r="E40" i="93"/>
  <c r="I39" i="93"/>
  <c r="E39" i="93"/>
  <c r="I37" i="93"/>
  <c r="E37" i="93"/>
  <c r="I36" i="93"/>
  <c r="E36" i="93"/>
  <c r="I35" i="93"/>
  <c r="E35" i="93"/>
  <c r="I34" i="93"/>
  <c r="E34" i="93"/>
  <c r="I33" i="93"/>
  <c r="E33" i="93"/>
  <c r="I30" i="93"/>
  <c r="E30" i="93"/>
  <c r="I29" i="93"/>
  <c r="E29" i="93"/>
  <c r="I28" i="93"/>
  <c r="E28" i="93"/>
  <c r="I27" i="93"/>
  <c r="E27" i="93"/>
  <c r="I25" i="93"/>
  <c r="E25" i="93"/>
  <c r="I24" i="93"/>
  <c r="E24" i="93"/>
  <c r="I23" i="93"/>
  <c r="E23" i="93"/>
  <c r="I21" i="93"/>
  <c r="E21" i="93"/>
  <c r="I20" i="93"/>
  <c r="E20" i="93"/>
  <c r="I19" i="93"/>
  <c r="E19" i="93"/>
  <c r="I18" i="93"/>
  <c r="E18" i="93"/>
</calcChain>
</file>

<file path=xl/sharedStrings.xml><?xml version="1.0" encoding="utf-8"?>
<sst xmlns="http://schemas.openxmlformats.org/spreadsheetml/2006/main" count="6279" uniqueCount="1739">
  <si>
    <t>Agency Responding</t>
  </si>
  <si>
    <t>Date of Submission</t>
  </si>
  <si>
    <t>Outcome Measure</t>
  </si>
  <si>
    <t>Efficiency Measure</t>
  </si>
  <si>
    <t>Output Measure</t>
  </si>
  <si>
    <t>Item #</t>
  </si>
  <si>
    <t>Type of Measure: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</si>
  <si>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</si>
  <si>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Insert any additional unrelated purposes</t>
  </si>
  <si>
    <t>Agency selected; Required by State; or Required by Federal:</t>
  </si>
  <si>
    <t>Agency Selected</t>
  </si>
  <si>
    <t>State</t>
  </si>
  <si>
    <t>Federal</t>
  </si>
  <si>
    <t>Input/Activity Measure</t>
  </si>
  <si>
    <t>Yes</t>
  </si>
  <si>
    <t>No</t>
  </si>
  <si>
    <t>Law Number</t>
  </si>
  <si>
    <t>Jurisdiction</t>
  </si>
  <si>
    <t>Type of Law</t>
  </si>
  <si>
    <t>Statutory Requirement and/or Authority Granted</t>
  </si>
  <si>
    <t>2016-17</t>
  </si>
  <si>
    <t xml:space="preserve">Agency Code:     </t>
  </si>
  <si>
    <t>Time Applicable</t>
  </si>
  <si>
    <t>Associated Organizational Unit(s)</t>
  </si>
  <si>
    <t>Organizational Unit</t>
  </si>
  <si>
    <t>Other state agencies whose mission the deliverable may fit within</t>
  </si>
  <si>
    <r>
      <rPr>
        <b/>
        <sz val="10"/>
        <rFont val="Calibri Light"/>
        <family val="2"/>
        <scheme val="major"/>
      </rPr>
      <t xml:space="preserve">Intended Public Benefit/Outcome:
</t>
    </r>
    <r>
      <rPr>
        <sz val="10"/>
        <rFont val="Calibri Light"/>
        <family val="2"/>
        <scheme val="major"/>
      </rPr>
      <t xml:space="preserve">(Ex. Outcome = incidents decrease and public perceives that the road is safer)  
</t>
    </r>
  </si>
  <si>
    <t>Total amount Appropriated and Authorized to Spend</t>
  </si>
  <si>
    <t xml:space="preserve"># of FTE equivalents utilized </t>
  </si>
  <si>
    <t>Performance Measure</t>
  </si>
  <si>
    <r>
      <t xml:space="preserve">Target Results
Time Period #6 </t>
    </r>
    <r>
      <rPr>
        <sz val="10"/>
        <color theme="1"/>
        <rFont val="Calibri Light"/>
        <family val="2"/>
        <scheme val="major"/>
      </rPr>
      <t>(current time period)</t>
    </r>
  </si>
  <si>
    <t xml:space="preserve">Recurring or one-time? </t>
  </si>
  <si>
    <t>Amounts appropriated, and amounts authorized, to the agency for 2015-16 that were not spent AND the agency can spend in 2016-17</t>
  </si>
  <si>
    <t>Deliverable</t>
  </si>
  <si>
    <t>Applicable Laws</t>
  </si>
  <si>
    <t>Line #</t>
  </si>
  <si>
    <t>Total</t>
  </si>
  <si>
    <r>
      <t xml:space="preserve">Responsible Employee Name &amp; Time staff member has been responsible for the goal or objective 
</t>
    </r>
    <r>
      <rPr>
        <sz val="10"/>
        <rFont val="Calibri Light"/>
        <family val="2"/>
        <scheme val="major"/>
      </rPr>
      <t>(e.g. John Doe (responsible less than 3 years) or Jane Doe (responsible more than 3 years))</t>
    </r>
    <r>
      <rPr>
        <b/>
        <sz val="10"/>
        <rFont val="Calibri Light"/>
        <family val="2"/>
        <scheme val="major"/>
      </rPr>
      <t xml:space="preserve"> </t>
    </r>
  </si>
  <si>
    <r>
      <t xml:space="preserve">Does this person have input into the budget for this goal, strategy or objective? </t>
    </r>
    <r>
      <rPr>
        <sz val="10"/>
        <color theme="1"/>
        <rFont val="Calibri Light"/>
        <family val="2"/>
        <scheme val="major"/>
      </rPr>
      <t>(Y/N)</t>
    </r>
  </si>
  <si>
    <t>Amounts appropriated, and amounts authorized, to the agency for 2016-17 that were not spent AND the agency can spend in 2017-18</t>
  </si>
  <si>
    <t>2017-18</t>
  </si>
  <si>
    <t>Greatest potential harm to the public if deliverable is not provided</t>
  </si>
  <si>
    <t>1-3 recommendations to the General Assembly, other than $ and providing the deliverable, for how the General Assembly can help avoid the greatest potential harm</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</si>
  <si>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</si>
  <si>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</si>
  <si>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</si>
  <si>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</si>
  <si>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</si>
  <si>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</si>
  <si>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</si>
  <si>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</si>
  <si>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</si>
  <si>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</si>
  <si>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</si>
  <si>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</si>
  <si>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</si>
  <si>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</si>
  <si>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</si>
  <si>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</si>
  <si>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</si>
  <si>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</si>
  <si>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</si>
  <si>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</si>
  <si>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</si>
  <si>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</si>
  <si>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</si>
  <si>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</si>
  <si>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</si>
  <si>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</si>
  <si>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</si>
  <si>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</si>
  <si>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</si>
  <si>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</si>
  <si>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</si>
  <si>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</si>
  <si>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</si>
  <si>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</si>
  <si>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</si>
  <si>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</si>
  <si>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</si>
  <si>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</si>
  <si>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</si>
  <si>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</si>
  <si>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</si>
  <si>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</si>
  <si>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</si>
  <si>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</si>
  <si>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</si>
  <si>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</si>
  <si>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</si>
  <si>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</si>
  <si>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</si>
  <si>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</si>
  <si>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</si>
  <si>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</si>
  <si>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</si>
  <si>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</si>
  <si>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</si>
  <si>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</si>
  <si>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</si>
  <si>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</si>
  <si>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</si>
  <si>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</si>
  <si>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</si>
  <si>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</si>
  <si>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</si>
  <si>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</si>
  <si>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</si>
  <si>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</si>
  <si>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</si>
  <si>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</si>
  <si>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</si>
  <si>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</si>
  <si>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</si>
  <si>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</si>
  <si>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</si>
  <si>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</si>
  <si>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</si>
  <si>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</si>
  <si>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</si>
  <si>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</si>
  <si>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r>
      <t>2017-18 Comprehensive Strategic Plan Part and Description</t>
    </r>
    <r>
      <rPr>
        <sz val="10"/>
        <rFont val="Calibri Light"/>
        <family val="2"/>
        <scheme val="major"/>
      </rPr>
      <t xml:space="preserve">
(e.g., Goal 1 - Insert Goal 1; Strategy 1.1 - Insert Strategy 1.1; Objective 1.1.1 - Insert Objective 1.1.1)</t>
    </r>
    <r>
      <rPr>
        <b/>
        <sz val="10"/>
        <rFont val="Calibri Light"/>
        <family val="2"/>
        <scheme val="major"/>
      </rPr>
      <t xml:space="preserve">
</t>
    </r>
  </si>
  <si>
    <t>Customer/Client</t>
  </si>
  <si>
    <t>Does this law specify who (customer) the agency must or may serve?  (Y/N)</t>
  </si>
  <si>
    <t>Target:</t>
  </si>
  <si>
    <t>Actual:</t>
  </si>
  <si>
    <r>
      <t xml:space="preserve">Does the agency </t>
    </r>
    <r>
      <rPr>
        <b/>
        <sz val="10"/>
        <color theme="1"/>
        <rFont val="Calibri Light"/>
        <family val="2"/>
        <scheme val="major"/>
      </rPr>
      <t>evaluate customer satisfaction</t>
    </r>
    <r>
      <rPr>
        <sz val="10"/>
        <color theme="1"/>
        <rFont val="Calibri Light"/>
        <family val="2"/>
        <scheme val="major"/>
      </rPr>
      <t xml:space="preserve">? </t>
    </r>
  </si>
  <si>
    <t>2014-15:</t>
  </si>
  <si>
    <t>2015-16:</t>
  </si>
  <si>
    <t>2016-17:</t>
  </si>
  <si>
    <t>Year</t>
  </si>
  <si>
    <r>
      <t xml:space="preserve">Does the agency know the annual </t>
    </r>
    <r>
      <rPr>
        <b/>
        <sz val="10"/>
        <color theme="1"/>
        <rFont val="Calibri Light"/>
        <family val="2"/>
        <scheme val="major"/>
      </rPr>
      <t># of potential customers</t>
    </r>
    <r>
      <rPr>
        <sz val="10"/>
        <color theme="1"/>
        <rFont val="Calibri Light"/>
        <family val="2"/>
        <scheme val="major"/>
      </rPr>
      <t xml:space="preserve">? </t>
    </r>
  </si>
  <si>
    <r>
      <t xml:space="preserve">Does the agency know the annual </t>
    </r>
    <r>
      <rPr>
        <b/>
        <sz val="10"/>
        <color theme="1"/>
        <rFont val="Calibri Light"/>
        <family val="2"/>
        <scheme val="major"/>
      </rPr>
      <t># of customers served</t>
    </r>
    <r>
      <rPr>
        <sz val="10"/>
        <color theme="1"/>
        <rFont val="Calibri Light"/>
        <family val="2"/>
        <scheme val="major"/>
      </rPr>
      <t xml:space="preserve">? </t>
    </r>
  </si>
  <si>
    <r>
      <t xml:space="preserve">Does the agency know the </t>
    </r>
    <r>
      <rPr>
        <b/>
        <sz val="10"/>
        <color theme="1"/>
        <rFont val="Calibri Light"/>
        <family val="2"/>
        <scheme val="major"/>
      </rPr>
      <t>cost it incurs, per unit</t>
    </r>
    <r>
      <rPr>
        <sz val="10"/>
        <color theme="1"/>
        <rFont val="Calibri Light"/>
        <family val="2"/>
        <scheme val="major"/>
      </rPr>
      <t xml:space="preserve">, to provide the service or product? </t>
    </r>
  </si>
  <si>
    <t>Target and Actual row labels</t>
  </si>
  <si>
    <r>
      <t xml:space="preserve">Target and Actual Results (Time Period #5 - </t>
    </r>
    <r>
      <rPr>
        <sz val="10"/>
        <color theme="1"/>
        <rFont val="Calibri Light"/>
        <family val="2"/>
        <scheme val="major"/>
      </rPr>
      <t>most recent completed time period)</t>
    </r>
  </si>
  <si>
    <t>Target and Actual Results (Time Period #4)</t>
  </si>
  <si>
    <t>Target and Actual Results (Time Period #1)</t>
  </si>
  <si>
    <t>Target and Actual Results (Time Period #2)</t>
  </si>
  <si>
    <t>Target and Actual Results (Time Period #3)</t>
  </si>
  <si>
    <t>SCEIS Fund # (Expendable Level - 8 digit) (full set of financials available for each through SCEIS); same Fund may be in multiple columns if multiple funding sources are deposited into it</t>
  </si>
  <si>
    <t>SCEIS Fund Description</t>
  </si>
  <si>
    <t>Source of Funds</t>
  </si>
  <si>
    <t>If source of funds is multi-year grant, # of years, including this yr, remaining</t>
  </si>
  <si>
    <r>
      <t xml:space="preserve">Is deliverable provided because...
</t>
    </r>
    <r>
      <rPr>
        <sz val="10"/>
        <rFont val="Calibri Light"/>
        <family val="2"/>
        <scheme val="major"/>
      </rPr>
      <t xml:space="preserve">A) Specifically REQUIRED by law (must or shall); 
B) Specifically ALLOWED by law (may); or
C) Not specifically mentioned in law, but PROVIDED TO ACHIEVE the requirements of the applicable law
</t>
    </r>
  </si>
  <si>
    <r>
      <t xml:space="preserve">Did the agency make efforts to obtain information from employees leaving the agency (e.g., exit interview, survey, evaluation, etc.) in 2014-15; 2015-16; or 2016-17? </t>
    </r>
    <r>
      <rPr>
        <sz val="10"/>
        <color theme="1"/>
        <rFont val="Calibri Light"/>
        <family val="2"/>
        <scheme val="major"/>
      </rPr>
      <t>(Y/N)</t>
    </r>
  </si>
  <si>
    <r>
      <t xml:space="preserve">Associated Performance Measures </t>
    </r>
    <r>
      <rPr>
        <sz val="10"/>
        <color theme="1"/>
        <rFont val="Calibri Light"/>
        <family val="2"/>
        <scheme val="major"/>
      </rPr>
      <t>(Please ensure each performance measure is on a separate line within the cell by typing the first associated performance measure, "Alt + Enter," then type the next assoc. PM, "Alt + Enter," and continue until all associated PMs are entered)</t>
    </r>
  </si>
  <si>
    <t>Amounts Appropriated and Authorized (i.e. allowed to spend)</t>
  </si>
  <si>
    <t>Total not toward Strategic Plan in 2016-17</t>
  </si>
  <si>
    <t>STRATEGIC PLAN</t>
  </si>
  <si>
    <t>Prior to receiving these report guidelines, did the agency have a comprehensive strategic plan? (enter Yes or No after the question mark in this cell)</t>
  </si>
  <si>
    <t xml:space="preserve">(minus) Spending/Transferring agency does not control </t>
  </si>
  <si>
    <t>External restrictions (from state/federal govt, grant issuer, etc.), if any, on use of funds</t>
  </si>
  <si>
    <r>
      <t>Toward Agency's 2016-17 Comprehensive Strategic Plan</t>
    </r>
    <r>
      <rPr>
        <sz val="10"/>
        <rFont val="Calibri Light"/>
        <family val="2"/>
        <scheme val="major"/>
      </rPr>
      <t xml:space="preserve"> 
(By Strategy at a minimum, and if possible, by Objective)</t>
    </r>
  </si>
  <si>
    <t>Summary of Resources Available</t>
  </si>
  <si>
    <t>RESOURCES AGENCY IS ALLOWED TO USE (2016-17)</t>
  </si>
  <si>
    <t>HOW RESOURCES ARE UTILIZED (2016-17)</t>
  </si>
  <si>
    <t>Fiscal Year 2016-17</t>
  </si>
  <si>
    <t xml:space="preserve">Total allowed to spend at START of 2016-17  </t>
  </si>
  <si>
    <t>Total spent toward Strategic Plan</t>
  </si>
  <si>
    <t xml:space="preserve">Total allowed to spend by END of 2016-17  </t>
  </si>
  <si>
    <t>Appropriations and authorizations remaining from 2016-17</t>
  </si>
  <si>
    <r>
      <t>Does the law allow the agency to</t>
    </r>
    <r>
      <rPr>
        <b/>
        <sz val="10"/>
        <color theme="1"/>
        <rFont val="Calibri Light"/>
        <family val="2"/>
        <scheme val="major"/>
      </rPr>
      <t xml:space="preserve"> charge for the service or product</t>
    </r>
    <r>
      <rPr>
        <sz val="10"/>
        <color theme="1"/>
        <rFont val="Calibri Light"/>
        <family val="2"/>
        <scheme val="major"/>
      </rPr>
      <t>?</t>
    </r>
  </si>
  <si>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</si>
  <si>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</si>
  <si>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</si>
  <si>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</si>
  <si>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</si>
  <si>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</si>
  <si>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</si>
  <si>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</si>
  <si>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</si>
  <si>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t>START OF YEAR FINANCIAL RESOURCES AVAILABLE (2016-17)</t>
  </si>
  <si>
    <t>END OF YEAR AMOUNT REMAINING (2016-17)</t>
  </si>
  <si>
    <t>Does the law specify a deliverable (service or product) the agency must or may provide?  (Y/N)</t>
  </si>
  <si>
    <r>
      <t xml:space="preserve">Does the agency </t>
    </r>
    <r>
      <rPr>
        <b/>
        <sz val="10"/>
        <rFont val="Calibri Light"/>
        <family val="2"/>
        <scheme val="major"/>
      </rPr>
      <t xml:space="preserve">evaluate the outcome obtained by customers / individuals who receive </t>
    </r>
    <r>
      <rPr>
        <sz val="10"/>
        <rFont val="Calibri Light"/>
        <family val="2"/>
        <scheme val="major"/>
      </rPr>
      <t>the service or product (on an individual or aggregate basis?)</t>
    </r>
  </si>
  <si>
    <r>
      <t xml:space="preserve">Optional - Service or Product component(s) </t>
    </r>
    <r>
      <rPr>
        <sz val="10"/>
        <color theme="1"/>
        <rFont val="Calibri Light"/>
        <family val="2"/>
        <scheme val="major"/>
      </rPr>
      <t>(If deliverable is too broad to complete the remaining columns, list each product/service associated with the deliverable, and complete the remaining columns)</t>
    </r>
  </si>
  <si>
    <t>Currently using, considering using in future, no longer using</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</si>
  <si>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</si>
  <si>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Total generated or received by June 30, 2016 (end of 2015-16)</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</si>
  <si>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</si>
  <si>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</si>
  <si>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</si>
  <si>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</si>
  <si>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Cash balance at the end of 2014-15</t>
  </si>
  <si>
    <t>Change in cash balance during 2015-16</t>
  </si>
  <si>
    <t>% of Total Available to Spend</t>
  </si>
  <si>
    <t>Amount of remaining</t>
  </si>
  <si>
    <t>Amount remaining</t>
  </si>
  <si>
    <t>Total # of FTEs available / Total # filled at start of year</t>
  </si>
  <si>
    <t># of FTE equivalents planned to utilize</t>
  </si>
  <si>
    <t>Total generated or received by June 30, 2017 (end of 2016-17)</t>
  </si>
  <si>
    <t>Cash balance at the end of 2015-16</t>
  </si>
  <si>
    <t>Change in cash balance during 2016-17</t>
  </si>
  <si>
    <t xml:space="preserve">Total allowed to spend at START of 2017-18  </t>
  </si>
  <si>
    <t xml:space="preserve">Total allowed to spend by END of 2017-18  </t>
  </si>
  <si>
    <r>
      <t xml:space="preserve">Associated General Appropriations Act Program(s) </t>
    </r>
    <r>
      <rPr>
        <sz val="10"/>
        <color theme="1"/>
        <rFont val="Calibri Light"/>
        <family val="2"/>
        <scheme val="major"/>
      </rPr>
      <t>(If there are a number of different assoc. programs, please enter "A," then explain at the end of the chart what is included in "A")</t>
    </r>
  </si>
  <si>
    <t>Associated General Appropriations Act Program(s)</t>
  </si>
  <si>
    <r>
      <t xml:space="preserve">Amount Spent </t>
    </r>
    <r>
      <rPr>
        <sz val="10"/>
        <color theme="1"/>
        <rFont val="Calibri Light"/>
        <family val="2"/>
        <scheme val="major"/>
      </rPr>
      <t>(including employee salaries/wages and benefits)</t>
    </r>
  </si>
  <si>
    <r>
      <t xml:space="preserve">Amount budgeted </t>
    </r>
    <r>
      <rPr>
        <sz val="10"/>
        <color theme="1"/>
        <rFont val="Calibri Light"/>
        <family val="2"/>
        <scheme val="major"/>
      </rPr>
      <t>(including employee salaries/wages and benefits)</t>
    </r>
  </si>
  <si>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</si>
  <si>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</si>
  <si>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</si>
  <si>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</si>
  <si>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</si>
  <si>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</si>
  <si>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</si>
  <si>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</si>
  <si>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</si>
  <si>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</si>
  <si>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If yes, who is/are the customer(s)?</t>
  </si>
  <si>
    <t>3B-2</t>
  </si>
  <si>
    <t>3B-3</t>
  </si>
  <si>
    <t>8B-2</t>
  </si>
  <si>
    <t>8B-3</t>
  </si>
  <si>
    <t>22B-2</t>
  </si>
  <si>
    <t>Total cash balance as of July 1, 2017 (start of 2017-18)</t>
  </si>
  <si>
    <t>Total cash balance as of July 1, 2016 (start of 2016-17)</t>
  </si>
  <si>
    <t>Total not toward Strategic Plan in 2017-18</t>
  </si>
  <si>
    <r>
      <t>Toward Agency's 2017-18 Comprehensive Strategic Plan</t>
    </r>
    <r>
      <rPr>
        <sz val="10"/>
        <rFont val="Calibri Light"/>
        <family val="2"/>
        <scheme val="major"/>
      </rPr>
      <t xml:space="preserve"> 
(By Strategy at a minimum, and if possible, by Objective)</t>
    </r>
  </si>
  <si>
    <t xml:space="preserve">Total Appropriated and Authorized (i.e. allowed to spend) by the end of 2017-18  </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</si>
  <si>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</si>
  <si>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</si>
  <si>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</si>
  <si>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</si>
  <si>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</si>
  <si>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</si>
  <si>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</si>
  <si>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</si>
  <si>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</si>
  <si>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</si>
  <si>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</si>
  <si>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</si>
  <si>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</si>
  <si>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</si>
  <si>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</si>
  <si>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</si>
  <si>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</si>
  <si>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</si>
  <si>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</si>
  <si>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</si>
  <si>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</si>
  <si>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</si>
  <si>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</si>
  <si>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</si>
  <si>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</si>
  <si>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</si>
  <si>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</si>
  <si>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</si>
  <si>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</si>
  <si>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</si>
  <si>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Additional comments from agency (Optional)</t>
  </si>
  <si>
    <t>Purpose of Organizational Unit</t>
  </si>
  <si>
    <r>
      <rPr>
        <sz val="10"/>
        <rFont val="Calibri Light"/>
        <family val="2"/>
        <scheme val="major"/>
      </rPr>
      <t>Did the agency evaluate and track</t>
    </r>
    <r>
      <rPr>
        <b/>
        <sz val="10"/>
        <rFont val="Calibri Light"/>
        <family val="2"/>
        <scheme val="major"/>
      </rPr>
      <t xml:space="preserve"> employee satisfaction </t>
    </r>
    <r>
      <rPr>
        <sz val="10"/>
        <rFont val="Calibri Light"/>
        <family val="2"/>
        <scheme val="major"/>
      </rPr>
      <t>in the organizational unit? (Y/N)</t>
    </r>
  </si>
  <si>
    <r>
      <rPr>
        <sz val="10"/>
        <rFont val="Calibri Light"/>
        <family val="2"/>
        <scheme val="major"/>
      </rPr>
      <t xml:space="preserve">Did the agency allow for </t>
    </r>
    <r>
      <rPr>
        <b/>
        <sz val="10"/>
        <rFont val="Calibri Light"/>
        <family val="2"/>
        <scheme val="major"/>
      </rPr>
      <t>anonymous feedback from employees</t>
    </r>
    <r>
      <rPr>
        <sz val="10"/>
        <rFont val="Calibri Light"/>
        <family val="2"/>
        <scheme val="major"/>
      </rPr>
      <t xml:space="preserve"> in the organizational unit?</t>
    </r>
    <r>
      <rPr>
        <b/>
        <sz val="10"/>
        <rFont val="Calibri Light"/>
        <family val="2"/>
        <scheme val="major"/>
      </rPr>
      <t xml:space="preserve"> </t>
    </r>
    <r>
      <rPr>
        <sz val="10"/>
        <rFont val="Calibri Light"/>
        <family val="2"/>
        <scheme val="major"/>
      </rPr>
      <t>(Y/N)</t>
    </r>
  </si>
  <si>
    <t>Track employee satisfaction?</t>
  </si>
  <si>
    <t>ORGANIZATIONAL UNIT CHART</t>
  </si>
  <si>
    <t>Allow anonymous feedback?</t>
  </si>
  <si>
    <t>Jobs require a certification?</t>
  </si>
  <si>
    <t>Pay for/provide required certifications?</t>
  </si>
  <si>
    <t>All</t>
  </si>
  <si>
    <t>Some</t>
  </si>
  <si>
    <t>None</t>
  </si>
  <si>
    <t>DNE</t>
  </si>
  <si>
    <r>
      <t xml:space="preserve">Turnover Rate </t>
    </r>
    <r>
      <rPr>
        <sz val="10"/>
        <rFont val="Calibri Light"/>
        <family val="2"/>
        <scheme val="major"/>
      </rPr>
      <t>in the organizational unit</t>
    </r>
  </si>
  <si>
    <t>State government</t>
  </si>
  <si>
    <t>Federal government</t>
  </si>
  <si>
    <t>State government + Agency Selected</t>
  </si>
  <si>
    <t>Federal government + Agency Selected</t>
  </si>
  <si>
    <t>Recurring</t>
  </si>
  <si>
    <t>One-Time</t>
  </si>
  <si>
    <t>Other</t>
  </si>
  <si>
    <t>Generated by agency</t>
  </si>
  <si>
    <t>Received from state or set federal match</t>
  </si>
  <si>
    <t>Remain with agency</t>
  </si>
  <si>
    <t>Go to the General Fund</t>
  </si>
  <si>
    <r>
      <t xml:space="preserve">Did any of the jobs </t>
    </r>
    <r>
      <rPr>
        <sz val="10"/>
        <rFont val="Calibri Light"/>
        <family val="2"/>
        <scheme val="major"/>
      </rPr>
      <t>in the organizational unit</t>
    </r>
    <r>
      <rPr>
        <b/>
        <sz val="10"/>
        <rFont val="Calibri Light"/>
        <family val="2"/>
        <scheme val="major"/>
      </rPr>
      <t xml:space="preserve"> require a certification </t>
    </r>
    <r>
      <rPr>
        <sz val="10"/>
        <rFont val="Calibri Light"/>
        <family val="2"/>
        <scheme val="major"/>
      </rPr>
      <t>(e.g., teaching, medical, accounting, etc.)?</t>
    </r>
    <r>
      <rPr>
        <b/>
        <sz val="10"/>
        <rFont val="Calibri Light"/>
        <family val="2"/>
        <scheme val="major"/>
      </rPr>
      <t xml:space="preserve"> </t>
    </r>
    <r>
      <rPr>
        <sz val="10"/>
        <rFont val="Calibri Light"/>
        <family val="2"/>
        <scheme val="major"/>
      </rPr>
      <t>(Y/N)</t>
    </r>
  </si>
  <si>
    <t>If yes, in the previous column, did the agency pay for, or provide in-house, classes/instruction/etc. needed to maintain all, some, or none of the required certifications?</t>
  </si>
  <si>
    <t>Associated Organizational Unit</t>
  </si>
  <si>
    <t>40-1-40(A),(B),(C)</t>
  </si>
  <si>
    <t>40-1-40(D)</t>
  </si>
  <si>
    <t>Establishes LLR as a member of the Governor's Cabinet and provides the Director, who supervises the department, is appointed by the Governor with the advice and consent of the Senate.</t>
  </si>
  <si>
    <t>40-1-50(A)</t>
  </si>
  <si>
    <t>40-1-50(B)(C)</t>
  </si>
  <si>
    <t>40-1-50(D)</t>
  </si>
  <si>
    <t>40-1-50(E)</t>
  </si>
  <si>
    <t>Authorizes the department to suspend a license for use of a financial instrument that is not honored by the financial institution named.</t>
  </si>
  <si>
    <t>40-1-70</t>
  </si>
  <si>
    <t>Establishes the powers and duties of the regulatory boards within LLR.</t>
  </si>
  <si>
    <t>40-1-110</t>
  </si>
  <si>
    <t>Establishes the additional grounds for a board to take disciplinary action against a licensee.</t>
  </si>
  <si>
    <t>40-1-115</t>
  </si>
  <si>
    <t>40-1-130</t>
  </si>
  <si>
    <t xml:space="preserve">Authorizes a board to deny authorization to practice to an applicant who has committed an act that would be grounds for disciplinary action. </t>
  </si>
  <si>
    <t>40-1-210</t>
  </si>
  <si>
    <t>40-2-10 to 40-2-340</t>
  </si>
  <si>
    <t>Chapter 1-01 to 1-12</t>
  </si>
  <si>
    <t>40-3-5 to 40-3-330</t>
  </si>
  <si>
    <t>Chapter 11-1 to 11-14</t>
  </si>
  <si>
    <t xml:space="preserve">State </t>
  </si>
  <si>
    <t>40-6-10 to 40-6-370</t>
  </si>
  <si>
    <t>Chapter 14-1 to 14-17</t>
  </si>
  <si>
    <t>40-7-5 to 40-7-400</t>
  </si>
  <si>
    <t>Chapter 17-1 to 17-51</t>
  </si>
  <si>
    <t>40-8-10 to 40-8-240</t>
  </si>
  <si>
    <t>Chapter 21-1 to 21-64</t>
  </si>
  <si>
    <t>40-9-10 to 40-9-110</t>
  </si>
  <si>
    <t>Chapter 25-1 to 25-9</t>
  </si>
  <si>
    <t>40-13-5 to 40-13-370</t>
  </si>
  <si>
    <t>Chapter 35-1 to 35-26</t>
  </si>
  <si>
    <t>40-15-10 to 40-15-380</t>
  </si>
  <si>
    <t>Chapter 39-1 to 39-18</t>
  </si>
  <si>
    <t>40-19-5 to 40-19-320</t>
  </si>
  <si>
    <t>40-22-2 to 40-22-320</t>
  </si>
  <si>
    <t>Chapter 49-100 to 49-610</t>
  </si>
  <si>
    <t>40-23-5 to 40-23-340</t>
  </si>
  <si>
    <t>Chapter 51-1 to 51-7</t>
  </si>
  <si>
    <t>40-26-10 to 40-26-60</t>
  </si>
  <si>
    <t xml:space="preserve"> Statute</t>
  </si>
  <si>
    <t>Chapter 76-1 to 76-9</t>
  </si>
  <si>
    <t xml:space="preserve"> Regulation </t>
  </si>
  <si>
    <t>40-29-5 to  40-29-380</t>
  </si>
  <si>
    <t>Chapter 79-1 to 79-44</t>
  </si>
  <si>
    <t>40-30-10 to 40-30-320</t>
  </si>
  <si>
    <t>Chapter 77-100 to 77-140</t>
  </si>
  <si>
    <t>40-33-10 to 40-33-1365</t>
  </si>
  <si>
    <t>Chapter 91-1 to 91-32</t>
  </si>
  <si>
    <t>Chapter 93-50 to 93-260</t>
  </si>
  <si>
    <t>40-36-5 to 40-36-310</t>
  </si>
  <si>
    <t>Chapter 94-01 to 94-10</t>
  </si>
  <si>
    <t>Chapter 95-1 to 95-6</t>
  </si>
  <si>
    <t>Chapter 96-101 to 96-110</t>
  </si>
  <si>
    <t>40-45-5 to 40-45-330</t>
  </si>
  <si>
    <t>Chapter 101-01 to 101-15</t>
  </si>
  <si>
    <t>40-51-10 to 40-51-270</t>
  </si>
  <si>
    <t>Chapter 134-10 to 134-50</t>
  </si>
  <si>
    <t>40-55-40 to 40-55-190</t>
  </si>
  <si>
    <t>Chapter 100-1 to 100-10</t>
  </si>
  <si>
    <t>Chapter 106-1 to 106-5</t>
  </si>
  <si>
    <t>40-60-5 to 40-60-230</t>
  </si>
  <si>
    <t>12 USCA 3331 et seq., 12 CFR 225.31</t>
  </si>
  <si>
    <t>Outlines Real Estate Appraiser standards and mandates certain Board requirements.</t>
  </si>
  <si>
    <t>40-63-5 to 40-63-300</t>
  </si>
  <si>
    <t>Chapter 110-1 to 110-20</t>
  </si>
  <si>
    <t>Chapter 108-1 to 108-8</t>
  </si>
  <si>
    <t>40-67-5 to 40-67-350</t>
  </si>
  <si>
    <t>Chapter 115-1 to 115-7</t>
  </si>
  <si>
    <t>Chapter 120-1 to 120-14</t>
  </si>
  <si>
    <t>40-75-5 to 40-75-310</t>
  </si>
  <si>
    <t>Chapter 36-01 to 36-23</t>
  </si>
  <si>
    <t>40-77-5 to 40-77-320</t>
  </si>
  <si>
    <t>Chapter 131-01 to 131-15</t>
  </si>
  <si>
    <t>40-81-10 to 40-81-520</t>
  </si>
  <si>
    <t>Chapter 20-1.1 to 20-27.23</t>
  </si>
  <si>
    <t>40-82-5 to 40-82-330</t>
  </si>
  <si>
    <t>Chapter 71-8304.1 to 71-8304.5</t>
  </si>
  <si>
    <t>Title 41, Chapter 15, Article 1 (41-15-80 To 41-15-100)</t>
  </si>
  <si>
    <t>Title 41, Chapter 15, Article 3 (41-15-210 to 41-15-330)</t>
  </si>
  <si>
    <t>Title 41, Chapter 15, Article 5 (41-15-510 and 41-15-520)</t>
  </si>
  <si>
    <t>Chapter 71, Article 1, Subarticle 1 (71-100 to 71-113)</t>
  </si>
  <si>
    <t>Chapter 71, Article 1, Subarticle 2 (71-200 to 71-223)</t>
  </si>
  <si>
    <t>Chapter 71, Article 1, Subarticle 3 (71-300 to 71-346)</t>
  </si>
  <si>
    <t>Chapter 71, Article 1, Subarticle 4 (71-400 to 71--411)</t>
  </si>
  <si>
    <t>Chapter 71, Article 1, Subarticle 5 (71-500 to 71-512)</t>
  </si>
  <si>
    <t xml:space="preserve">Chapter 71, Article 1, Subarticle 6 </t>
  </si>
  <si>
    <t>OSHA; identical to Federal Regulations identified in item 15 but editor's note includes the "modifications"; establishes health and safety standards for general industry employers.</t>
  </si>
  <si>
    <t>Chapter 71, Article 1, Subarticle 7</t>
  </si>
  <si>
    <t>OSHA; identical to Federal Regulations identified in item 16 but editor's note includes the "modifications"; establishes health and safety standards for construction employers.</t>
  </si>
  <si>
    <t>Chapter 71, Article 1, Subarticle 8</t>
  </si>
  <si>
    <t>OSHA; identical to Federal Regulations identified in item 17; establishes health and safety standards for agriculture employers.</t>
  </si>
  <si>
    <t>Chapter 71, Article 1, Subarticle 9 (71-900 to 71-912)</t>
  </si>
  <si>
    <t>Chapter 71, Article 1, Subarticle 10 (71-1001 to 71-1021)</t>
  </si>
  <si>
    <t>Chapter 71, Article 1, Subarticle 11 (71-1100 to 71-1108)</t>
  </si>
  <si>
    <t>29 CFR 1910</t>
  </si>
  <si>
    <t>OSHA; all applicable standards which have been adopted and/or modified by the state (See #9/State regulations that mirror) establish specific health and safety standards for general industry employers.</t>
  </si>
  <si>
    <t>29 CFR 1926</t>
  </si>
  <si>
    <t>OSHA; all applicable standards which have been adopted and/or modified by the state (See #10/State regulations that mirror) establish specific health and safety standards for construction employers.</t>
  </si>
  <si>
    <t>29 CFR 1928</t>
  </si>
  <si>
    <t>OSHA; all applicable standards which have been adopted by the state (See #11/State regulations that mirror) establish specific health and safety standards for agriculture employers.</t>
  </si>
  <si>
    <t>Title 41, Chapter 13 (41-13-5 to 41-13-60)</t>
  </si>
  <si>
    <t>Chapter 71, Article 3 (71-3100 to 71-3111)</t>
  </si>
  <si>
    <t xml:space="preserve">Title 41, Chapter 10 (41-10-10 to 41-10-110) </t>
  </si>
  <si>
    <t>Payment of Wages; establishes the division's authority to manage/regulate the payment of wages to employees within the state.</t>
  </si>
  <si>
    <t>Chapter 71, Article 6 (71-6000)</t>
  </si>
  <si>
    <t>Payment of Wages; establishes how the division exercises its authority to manage/regulate the payment of wages within the state.</t>
  </si>
  <si>
    <t>Title 41, Chapter 16 (41-16-10 to 41-16-180)</t>
  </si>
  <si>
    <t>Chapter 71, Article 5 (71-5000 to 71-5900)</t>
  </si>
  <si>
    <t>Title 41, Chapter 18 (41-18-10 to 41-18-360)</t>
  </si>
  <si>
    <t>Amusement Rides; "South Carolina Amusement Rides Safety Code" establishes the division's authority to regulate the safe operation of the state's amusement rides and related equipment.</t>
  </si>
  <si>
    <t>Chapter 71, Article 4 (71-4000 to 71-4950)</t>
  </si>
  <si>
    <t>Title 41, Chapter 8, (Section 41-8-10 to 41-8-140)</t>
  </si>
  <si>
    <t>Chapter 71, Article 10 (71-10000 to 71-10003)</t>
  </si>
  <si>
    <t>23-9-20</t>
  </si>
  <si>
    <t>23-9-25(A) to (G)</t>
  </si>
  <si>
    <t>Establishes the  Volunteer Strategic Assistance and Fire Equipment Program and authorizes the Fire Marshal to administer the grants.</t>
  </si>
  <si>
    <t>23-9-30 (a),(b)</t>
  </si>
  <si>
    <t>Authorizes the State Fire Marshal to certify resident fire marshals to act under the authority of the State Fire Marshal.</t>
  </si>
  <si>
    <t>23-9-40 (a) to (f)</t>
  </si>
  <si>
    <t xml:space="preserve">Establishes the laws and ordinances the Fire Marshal is statutorily obligated to enforce. </t>
  </si>
  <si>
    <t>23-9-45 (A) to(C)</t>
  </si>
  <si>
    <t>23-9-50(a) to (c); 23-9-60</t>
  </si>
  <si>
    <t>23-9-65</t>
  </si>
  <si>
    <t xml:space="preserve">Authorizes the Fire Marshal to promulgate regulations to implement the automatic fueling clips on self-service gasoline dispensers.  </t>
  </si>
  <si>
    <t xml:space="preserve">23-9-150 </t>
  </si>
  <si>
    <t>Establishes procedure for Fire Marshal's declaration of "Unsafe Building."</t>
  </si>
  <si>
    <t>23-9-155</t>
  </si>
  <si>
    <t>Establishes Fire Marshal's emergency powers concerning unsafe buildings.</t>
  </si>
  <si>
    <t>71-8300</t>
  </si>
  <si>
    <t>71-8302</t>
  </si>
  <si>
    <t>71-8301</t>
  </si>
  <si>
    <t>71-8303</t>
  </si>
  <si>
    <t>71-8305</t>
  </si>
  <si>
    <t>71-8306</t>
  </si>
  <si>
    <r>
      <rPr>
        <b/>
        <sz val="10"/>
        <color theme="1"/>
        <rFont val="Calibri Light"/>
        <family val="2"/>
        <scheme val="major"/>
      </rPr>
      <t>Meaningful use of Measure</t>
    </r>
    <r>
      <rPr>
        <sz val="10"/>
        <color theme="1"/>
        <rFont val="Calibri Light"/>
        <family val="2"/>
        <scheme val="major"/>
      </rPr>
      <t xml:space="preserve"> (from Accountability Report)</t>
    </r>
  </si>
  <si>
    <t>Training video for DDSN and DSS</t>
  </si>
  <si>
    <t xml:space="preserve">Training video for fire school safety inspections </t>
  </si>
  <si>
    <t>Number of fire-related fatalities</t>
  </si>
  <si>
    <t xml:space="preserve">Reduce turnaround time to conduct inspections </t>
  </si>
  <si>
    <t>% of licenses and permit applications submitted electronically</t>
  </si>
  <si>
    <t>Number of days for engineer review of fire sprinkler plans</t>
  </si>
  <si>
    <t>Number of students taught</t>
  </si>
  <si>
    <t>Policy drafted</t>
  </si>
  <si>
    <t>Report issued</t>
  </si>
  <si>
    <t>Increase ERTF membership</t>
  </si>
  <si>
    <t>Total number of agency licensees who have FBI background checks conducted</t>
  </si>
  <si>
    <t>Number of boards utilizing CE tracker</t>
  </si>
  <si>
    <t>Creation of online license verification portal</t>
  </si>
  <si>
    <t>Bulk license verification program launch</t>
  </si>
  <si>
    <t>Number of dental practices inspected/permitted</t>
  </si>
  <si>
    <t>Increase eligible applicants by 5% for the agency's most difficult positions to fill: Board Administrators, Attorneys, and Investigators</t>
  </si>
  <si>
    <t>Solicit feedback from new employees regarding recruitment and onboarding processes</t>
  </si>
  <si>
    <t>Measures the efficacy of the new recruitment and onboarding processes.</t>
  </si>
  <si>
    <t>Improves employee performance to better serve the public.</t>
  </si>
  <si>
    <t>Provides training to employees to hire more qualified employees to deliver effective and quality agency services.</t>
  </si>
  <si>
    <t>Assists agency managers by ensuring quality applicants for key agency positions.</t>
  </si>
  <si>
    <t>By reducing worker fatalities, OSHA strives to make South Carolina a safe place for workers.</t>
  </si>
  <si>
    <t>Provides for safe elevators in this state by not allowing elevators with outstanding abatement issues to operate.</t>
  </si>
  <si>
    <t>Illustrates the problem that small employers have with E-Verify compliance.</t>
  </si>
  <si>
    <t>Protects the public by inspecting dental facilities providing sedation and ensuring dentists who perform sedation possess the requisite education.</t>
  </si>
  <si>
    <t xml:space="preserve">Although the agency has no control over the number of nursing complaints received per year,  this measure will demonstrate efficient management of an increasing and  fluctuating workload.  Closure of approximately the same number of newly-opened cases each year enhances public protection and economic stability within this industry. </t>
  </si>
  <si>
    <t>Provides exemplary customer service by utilizing new technology that allows hospitals and other healthcare employers the ability to bulk verify licenses of their employees.</t>
  </si>
  <si>
    <t>Promotes fiscal stewardship by replacing a manual procedure with an electronic automatic process that provides a benefit to the public and other states' licensing boards by allowing for automatic verification of a license.</t>
  </si>
  <si>
    <t>Provides for automatic educational audits of all licensees to ensure licensees are adequately complying with education requirements.</t>
  </si>
  <si>
    <t>Provides exceptional licensing services and allows agency to use new technology to improve the experience of applicants.</t>
  </si>
  <si>
    <t xml:space="preserve">Measures how many FBI background checks the agency performs in order to be statutorily compliant, and ensures that the boards have the necessary criminal background checks when making licensure decisions. </t>
  </si>
  <si>
    <t xml:space="preserve">Ensures that the State has a deployable emergency task force that has the assets necessary during an emergency. </t>
  </si>
  <si>
    <t xml:space="preserve">Ensures that the State has a deployable emergency task force with the assets necessary during an emergency. </t>
  </si>
  <si>
    <t xml:space="preserve">Better tracking of programs and props ensures that the Fire Academy is able to deliver classes and training to meet the current needs of the fire service. </t>
  </si>
  <si>
    <t xml:space="preserve">Firefighters are now the first responders on many accident sites. Developing an EMT program at the Fire Academy ensures that we are meeting the needs of our customers.    </t>
  </si>
  <si>
    <t>The office must balance ensuring that fire sprinkler plans are statutorily compliant with not additionally delaying the building process.</t>
  </si>
  <si>
    <t>Prompt inspections ensure fire and life safety of the public.</t>
  </si>
  <si>
    <t>Provides the state with accurate statistics regarding fires and fire-related injuries and deaths so the state can correctly assess the effectiveness of its fire reduction programs and initiatives.</t>
  </si>
  <si>
    <t>Provides the state with accurate statistics regarding fires and fire-related injuries in order to provide accurate resources and education to counties to reduce fires.</t>
  </si>
  <si>
    <t>Reducing fire deaths shows how many lives can be saved.</t>
  </si>
  <si>
    <t>Addresses whether our instructors are committed and engaged in working for State Fire and whether we are adequately meeting the needs of our customers.</t>
  </si>
  <si>
    <t>A new website layout will improve customer service in providing information and better deliver services.</t>
  </si>
  <si>
    <t>Promotes safe schools by giving every school district the resources to do a fire safety inspection.</t>
  </si>
  <si>
    <t>Currently we train, at least quarterly, a number of DDSN and DSS personnel.  We are producing the video to reach more customers.</t>
  </si>
  <si>
    <t xml:space="preserve">Uses new technology to provide better services in order to improve the customer experience. </t>
  </si>
  <si>
    <t xml:space="preserve">Ensures that students in the remaining counties graduate with the skills necessary to become a Firefighter I and that counties have access to trained firefighters. </t>
  </si>
  <si>
    <t xml:space="preserve">Graduating HS with skills that make you eligible for a professional license ensures that more South Carolinians graduate ready to enter the workforce. </t>
  </si>
  <si>
    <t>Shows the number of students who graduate ready to enter into the manufacturing job market with an OSHA 10 certificate.</t>
  </si>
  <si>
    <t xml:space="preserve">The sites provide funding, trainers, and support for the OSHA 10 program.  The more VPP sites, the more the program can expand into additional counties. </t>
  </si>
  <si>
    <t>Shows the progress of the program expansion into additional counties.</t>
  </si>
  <si>
    <t>July - June</t>
  </si>
  <si>
    <t>40-1-10 (A), (B), (C)</t>
  </si>
  <si>
    <t>40-1-20</t>
  </si>
  <si>
    <t>Sets forth definitions used in Title 40, Chapter 1 (sometimes referred to as the Engine Act).</t>
  </si>
  <si>
    <t>40-1-30</t>
  </si>
  <si>
    <t>Provides that it is unlawful to engage in a profession or occupation regulated by an LLR administered board or commission without holding a valid authorization to practice, and provides that such authorizations are valid for up to two years and are renewable.</t>
  </si>
  <si>
    <t>40-1-45</t>
  </si>
  <si>
    <t>40-1-50(F)</t>
  </si>
  <si>
    <t xml:space="preserve">40-1-50(G) </t>
  </si>
  <si>
    <t>40-1-50(H)</t>
  </si>
  <si>
    <t>40-1-50(I)</t>
  </si>
  <si>
    <t>40-1-60 (A), (B),(C), (D)</t>
  </si>
  <si>
    <t>Provides for election of board officers, minimum number of meetings, quorum requirements, and attendance at meetings by board members</t>
  </si>
  <si>
    <t>40-1-80 (A), (B)</t>
  </si>
  <si>
    <t>40-1-90 (A), (B)</t>
  </si>
  <si>
    <t>40-1-100 (A), (B)</t>
  </si>
  <si>
    <t>40-1-120 (A), (B), (C), (D), and (E)</t>
  </si>
  <si>
    <t>40-1-140</t>
  </si>
  <si>
    <t>States circumstances under which an authorization to practice may be denied because of a prior criminal conviction.</t>
  </si>
  <si>
    <t>40-1-150</t>
  </si>
  <si>
    <t>Provides for voluntary surrender of an authorization to practice.</t>
  </si>
  <si>
    <t>40-1-160</t>
  </si>
  <si>
    <t>Provides for appeal of a board decision to the Administrative Law Court.</t>
  </si>
  <si>
    <t>40-1-170 (A), (B), (C), (D), and (E)</t>
  </si>
  <si>
    <t>40-1-180 (A), (B)</t>
  </si>
  <si>
    <t>Establishes consequences of failure to pay fines or costs and requires LLR to remit collected fines and costs to the State Treasurer for deposit in a special fund for LLR's use to defray costs of investigations and hearings.</t>
  </si>
  <si>
    <t>40-1-200</t>
  </si>
  <si>
    <t>40-1-220</t>
  </si>
  <si>
    <t>Provides that the invalidity of a portion of  Chapter 1 of Title 40 does not invalidate the remaining unaffected provisions.</t>
  </si>
  <si>
    <t>40-1-610 to 40-1-640</t>
  </si>
  <si>
    <t xml:space="preserve">Statute </t>
  </si>
  <si>
    <t>Licensure Provisions for Military Personnel and Spouses.  Exempts licensees on active military duty from continuing education requirements and license fees, authorizes temporary licenses for spouses of active duty U.S. military assigned to a duty station in SC, and authorizes licensing boards to consider certain military education, training and experience for satisfaction of licensing requirements.</t>
  </si>
  <si>
    <t>Chapter 10-1 to 10-42</t>
  </si>
  <si>
    <t>Regulations</t>
  </si>
  <si>
    <t>6-8-10 to 6-8-70</t>
  </si>
  <si>
    <t>Chapter 8-105 to 8-185</t>
  </si>
  <si>
    <t>6-9-5 to 6-9-130</t>
  </si>
  <si>
    <t>Chapter 8-205 to 8-248</t>
  </si>
  <si>
    <t xml:space="preserve">23-43-10 to 23-43-200  </t>
  </si>
  <si>
    <t>Chapter 8-600 to 8-626</t>
  </si>
  <si>
    <t>10-5-210 to 10-5-320</t>
  </si>
  <si>
    <t>Chapter 8-700 to 8-703</t>
  </si>
  <si>
    <t>27-29-10 to 27-29-210</t>
  </si>
  <si>
    <t xml:space="preserve">27-32-10 to -27-32-360 </t>
  </si>
  <si>
    <t>Vacation Time Sharing Plans. Requires the registration of time sharing plans with the Real Estate Commission prior to sale in this state and provides for review by the Commission; sets forth requirements for sale and closing of timeshare interests, including contract requirements, disclosure and rescission rights, and escrow funds; creates the Time Sharing Recovery Fund administered by the Commission; provides for investigative power by the Commission and creates a procedure for revocation of a registration. Also requires the registration of persons selling timeshares, excluding regular employees of the seller of the timeshares.</t>
  </si>
  <si>
    <t>Chapter 105-2 to 105-3</t>
  </si>
  <si>
    <t>Timeshare Regulations of the Real Estate Commission clarify certain types ownership interests that are considered time sharing ownership or interval ownership plans and provide that the act does not prevent sale of time sharing plan receivables.</t>
  </si>
  <si>
    <t>Auctioneers Board Regulations implement the Auctioneer Practice Act, setting forth details on  licensing requirements, continuing education, Commission access to licensee auction agreements and records, apprenticeships, and other administrative details. Creates the Auctioneer Recovery Fund to be maintained by LLR.</t>
  </si>
  <si>
    <t>Barber Board Regulations set forth details regarding the registration and inspections of barber shops and schools, and the regulation of barbering education, as well as the minimum education requirements for licensing cosmetologists and master hair care specialists.</t>
  </si>
  <si>
    <t>Perpetual Care Cemeteries Regulations provide details regarding various required trust funds, licensing requirements, records requirements, and disclosures and other sales practices.</t>
  </si>
  <si>
    <t>Chapter 29-70 to 29-110</t>
  </si>
  <si>
    <t>40-11-5 to 40-11-430</t>
  </si>
  <si>
    <t>Contractor's Board regulations provide administrative details on exams and other licensure requirements, and administrative fines.</t>
  </si>
  <si>
    <t>Cosmetology Regulations address details of requirements for schools and instructors, continuing education requirements, exam requirements,  equipment and sanitary and safety rules for schools and salons, and administrative citations and penalties.</t>
  </si>
  <si>
    <t>Chapter 57-01 to 57-15</t>
  </si>
  <si>
    <t>40-20-5 to 40-20-130</t>
  </si>
  <si>
    <t>Chapter 40-1 to 40-17</t>
  </si>
  <si>
    <t>Engineers and Surveyors Regulations provide details on licensure requirements, firm registrations, use of seals and continuing education; adopt rules of professional conduct; provide standards of practice for surveying.</t>
  </si>
  <si>
    <t>Environmental Certification Board regulations address details of  licensure requirements for the various categories and levels of licensure, trainee permits, and continuing education.</t>
  </si>
  <si>
    <t>40-24-10 to 40-24-20</t>
  </si>
  <si>
    <t>Eyecare Consumer Protection Law.  Sets requirements for  valid eyeglass or contact lens prescriptions; prohibits prescriptions for eyeglasses or contact lenses based solely on the refractive eye error of the human eye or those generated by a kiosk; makes violations sanctionable misconduct under the optometry and medical practice acts.</t>
  </si>
  <si>
    <t>Massage/Body Work Regulations provide details on qualifications for licensure, reciprocity, continuing education approvals, and health restrictions.</t>
  </si>
  <si>
    <t>Nursing Board Regulations provide details on nursing education program procedures and requirements, establish a procedure for disciplinary hearings, and adopt a code of ethics.</t>
  </si>
  <si>
    <t>Podiatry Regulations provide additional details on requirements for licensure, application procedures, documentation requirements to sit for the licensure exam, and procedures for review of an examination and re-examination.</t>
  </si>
  <si>
    <t xml:space="preserve">40-56-1 to 40-56-270   </t>
  </si>
  <si>
    <t>Chapter 71-7405</t>
  </si>
  <si>
    <t>Chapter 105-4 to 105-13</t>
  </si>
  <si>
    <t>Real Estate Commission Regulations provide details on requirements for  real estate education courses,  providers of those courses, and instructors of those courses, including auditing by the Commission's representative.</t>
  </si>
  <si>
    <t>Residential Home Builders Regulations establish the classifications of residential  trade specialty contractors  regulated by the Residential Builders Commission for which an examination is required for licensure and those for which no exam is required, set forth the required qualifications for home inspectors, and provide for emergency licenses and registrations.</t>
  </si>
  <si>
    <t>Real Estate Appraiser License and Certification Act. Creates the Real Estate Appraisers Board; directs the licensing of various classifications of real estate appraisers; requires continuing education; provides for the approval of appraiser education courses, educational providers and instructors; adopts national appraisal standards; investigation of complaints against and discipline of licensees.</t>
  </si>
  <si>
    <t>40-60-310 to 40-60-560</t>
  </si>
  <si>
    <t>Speech-Language Pathology &amp; Audiology Regulations provide details on licensing requirements, continuing education, scope of practice for  speech language pathology assistants, and supervision requirements for  assistants and for interns,</t>
  </si>
  <si>
    <t>40-79-5 to 40-70-320</t>
  </si>
  <si>
    <t>Liquid Petroleum Gas Regulations reference the licensing requirements, require display of the license, and further require permits  be issued by the State Fire Marshal to a designated supervisory person for each site who supervises people handling, dispensing, installing, transporting, repairing or exchanging LPG; provide for  form of permits and require they be in the possession of the permit holder; reference the applicable fire and building codes and standards; provide for retesting if licensing exam is not passed; provide that expired permits are nonrenewable; and require compliance with plan submittal requirements of R. 71-8304.2 where the LPG Practice Act requires site approval as a condition of issuance of the license.</t>
  </si>
  <si>
    <t>48-27-10 to 48-27-260</t>
  </si>
  <si>
    <t>Chapter 53-1 to 53-30</t>
  </si>
  <si>
    <t xml:space="preserve">Regulation </t>
  </si>
  <si>
    <t xml:space="preserve">54-15-10 to 54-15 -360 </t>
  </si>
  <si>
    <t>Chapter 136-001 to 136-99 and 136-701 to 136-799</t>
  </si>
  <si>
    <t>Title 41, Chapter 14 (41-14-10 to 41-14-150)</t>
  </si>
  <si>
    <t>Chapter 71, Article 9 (71-9100</t>
  </si>
  <si>
    <t>Military personnel and spouses who meet the statutory requirements.</t>
  </si>
  <si>
    <t>Agency Licensees</t>
  </si>
  <si>
    <t>The boards and commissions outlined in 40-1-40.</t>
  </si>
  <si>
    <t>Requires LLR to provide records of board proceedings and registry of all licensees and applicants upon request and payment of a fee.</t>
  </si>
  <si>
    <t>Individuals or state agency seeking relief pursuant to the Family Independence Act.</t>
  </si>
  <si>
    <t>The Governor</t>
  </si>
  <si>
    <t>23-9-70 to 23-9-120</t>
  </si>
  <si>
    <t xml:space="preserve">23-9-130 to 23-9-140 </t>
  </si>
  <si>
    <t>Np</t>
  </si>
  <si>
    <t>Establishes the duties and authority of the State Fire Marshal.</t>
  </si>
  <si>
    <t>Chartered Fire Departments</t>
  </si>
  <si>
    <t>Resident fire marshals and those seeking to become resident fire marshals.</t>
  </si>
  <si>
    <t>23-9-157 to 23-8-180</t>
  </si>
  <si>
    <t>23-9-190</t>
  </si>
  <si>
    <t>23-9-510 to 23-9-570</t>
  </si>
  <si>
    <t>Members of the public and they hydrogen and fuel cell industry.</t>
  </si>
  <si>
    <t>23-10-10 to 23-10-20</t>
  </si>
  <si>
    <t>South Carolina's paid, volunteer, and industrial fire service personnel.</t>
  </si>
  <si>
    <t>23-35-45;  23-35-150</t>
  </si>
  <si>
    <t>Owner or operator of establishment where the indoor pyrotechnics are used.</t>
  </si>
  <si>
    <t>23-51-10 to 23-51-110</t>
  </si>
  <si>
    <t>Requires the State Fire Marshal to maintain a file on each registered firefighter that includes certain information.</t>
  </si>
  <si>
    <t>40-80-10 to 40-80-70</t>
  </si>
  <si>
    <t>South Carolina firefighters</t>
  </si>
  <si>
    <t>23-36-10 to 23-36-170</t>
  </si>
  <si>
    <t>Establishes the license and permit structure for dealers and blasters of explosive materials.</t>
  </si>
  <si>
    <t>Class I and Class II Dealers, and Blasters.</t>
  </si>
  <si>
    <t>23-49-10 to 23-49-120</t>
  </si>
  <si>
    <t>Authorizes State Fire Marshal to disseminate information concerning causes and prevention of fires, and provides the expenses are to be paid by the State.</t>
  </si>
  <si>
    <t>The owners and users of modular building units.</t>
  </si>
  <si>
    <t>Registrants for undeveloped, subdivided land located out-of-state that meet the criteria outlined in Chapter 29 of Title 27.</t>
  </si>
  <si>
    <t>Time share plan entities and sellers; purchasers of time share plans.</t>
  </si>
  <si>
    <t>Licensees and individuals who file a complaint.</t>
  </si>
  <si>
    <t xml:space="preserve">Licensees  </t>
  </si>
  <si>
    <t>Licensees</t>
  </si>
  <si>
    <t>Chapter 99-15 to 99-46</t>
  </si>
  <si>
    <t xml:space="preserve">Licensees </t>
  </si>
  <si>
    <t>Elevator owners and operators</t>
  </si>
  <si>
    <t xml:space="preserve">Amusement device owners and operators </t>
  </si>
  <si>
    <t xml:space="preserve"> </t>
  </si>
  <si>
    <t>Requires LLR verify the lawful presence in the U.S. through SAVE of any alien 18 years of age or older who has applied for a state benefit (occupational or professional license).</t>
  </si>
  <si>
    <t>Applicants for a professional or occupational license who is an alien 18 years of age or older.</t>
  </si>
  <si>
    <t>8-29-10 (A) - (L)</t>
  </si>
  <si>
    <t>Applicants and current Class D fire equipment dealer licensees or permit holders.</t>
  </si>
  <si>
    <t>Creates the South Carolina Firefighter Mobilization Committee and requires the committee to establish the Firefighter Mobilization Plan and Emergency Response Task Force Plan.</t>
  </si>
  <si>
    <t>Directs that public and consumer members of professional and occupational licensing boards may not be current, former active or inactive members of the regulated profession or occupation, and that they generally have the same rights as other board members.</t>
  </si>
  <si>
    <t>Members of the public who have requested the information.</t>
  </si>
  <si>
    <t>Authorizes assessment of costs of investigation and prosecution for disciplinary cases against licensees.</t>
  </si>
  <si>
    <t>Makes unlicensed practice or fraudulently obtaining a license a misdemeanor punishable by up to a year imprisonment or a fine of up to $50,000.</t>
  </si>
  <si>
    <t>Potential and existing licensees.</t>
  </si>
  <si>
    <t>Fire Sprinkler Systems Regulations provide details on applications, fees (including plan review fees), limitations on certificate holders and grandfathered qualifiers; transfer of qualifications of a certificate holder from one sprinkler contractor to another; renewals of authorizations; exemptions from licensure; and provide for procedures for complaints and violations.</t>
  </si>
  <si>
    <r>
      <t>40-10-</t>
    </r>
    <r>
      <rPr>
        <sz val="10"/>
        <rFont val="Calibri Light"/>
        <family val="2"/>
        <scheme val="major"/>
      </rPr>
      <t>05</t>
    </r>
    <r>
      <rPr>
        <sz val="10"/>
        <color theme="1"/>
        <rFont val="Calibri Light"/>
        <family val="2"/>
        <scheme val="major"/>
      </rPr>
      <t xml:space="preserve"> to 40-10-300</t>
    </r>
  </si>
  <si>
    <t>Proviso 81.1 (LLR: Fire Marshal-Authorization to Charge Fees for Training), 2017-2018 S.C. Appropriations Act, Part 1B.</t>
  </si>
  <si>
    <t>Investigations of complaints of misconduct against professional and occupational licensees and permit holders.</t>
  </si>
  <si>
    <t>For the current fiscal year, prohibits LLR from enforcing provisions contained in Chapter 18, Title 41 of the 1976 Code, relating to amusement park rides, against open-wheel motorsport vehicles, karts, superkarts, gearbox or shifter karts, or go karts used for racing at speeds in excess of fifty miles per hour.</t>
  </si>
  <si>
    <t>Prior to any funds carried forward from the prior fiscal year in Subfund 3135 being transferred to fund any other purpose, requires LLR to retain $250,000 to fund the department's responsibilities under the South Carolina Illegal Immigration Reform Act.  Requires LLR to compile an accountability report outlining expenditures of the Immigration Bill funding to be issued to the President Pro Tempore of the Senate, the Chairman of the Senate Finance Committee, the Chairman of the Senate Finance Natural Resources and Economic Development Subcommittee, the Speaker of the House of Representatives, the Chairman of the House Ways and Means Committee, and the Chairman of the House Ways and Means Transportation and Regulatory Subcommittee.  That report must be issued on the first Tuesday of February in the current fiscal year.</t>
  </si>
  <si>
    <t>Directs LLR to utilize $165,000 of the funds derived under Section 2 of Act 1377 of 1968, as amended by Act 60 of 2001 from the tax of thirty-five one-hundredths percent imposed annually on the gross premium receipts less premiums returned on canceled policy contracts and less dividends and returns of unabsorbed premium deposits of all fire insurance companies doing business in the State to fund the Firefighter Mobilization Project.</t>
  </si>
  <si>
    <t>Division of the State Fire Marshal is authorized to accept gifts or grants of services, properties, or monies from individuals or public and private organizations to honor South Carolina firefighters who have died in the line of duty.  All excess monies collected to erect a memorial are to be placed in a fund for upkeep and maintenance.  Any later contributions are to be used for upkeep and maintenance.</t>
  </si>
  <si>
    <t>Remission of Funds in Program II.F. Professional and Occupational Licensing must remit annually an amount equal to ten percent of the expenditures to the general fund.  The Contractor's Licensing Board must remit all revenues above their expenditures to the general fund.  The revenue remitted by the Contractor's Licensing Board to the general fund includes the ten percent.</t>
  </si>
  <si>
    <t>Uncodified Statute</t>
  </si>
  <si>
    <t>Act 268 of 204, Section 6</t>
  </si>
  <si>
    <t>Act 60 of 2001, Section 2</t>
  </si>
  <si>
    <t>Yes --Provide a report</t>
  </si>
  <si>
    <t xml:space="preserve">40-47-5 to 40-47-1620     </t>
  </si>
  <si>
    <t>Animal Shelter Registration</t>
  </si>
  <si>
    <t>Firefighter/Industrial training</t>
  </si>
  <si>
    <t>Yes -Providing Report</t>
  </si>
  <si>
    <t>Yes-Other service or product.</t>
  </si>
  <si>
    <t>44-130-40</t>
  </si>
  <si>
    <t>Statute and Protocol</t>
  </si>
  <si>
    <t>Pharmacists</t>
  </si>
  <si>
    <t>5-190</t>
  </si>
  <si>
    <t>6-9-110</t>
  </si>
  <si>
    <t>24-9-20</t>
  </si>
  <si>
    <t>Designated personnel of the State Engineer's Office</t>
  </si>
  <si>
    <t xml:space="preserve">Yes- Other service or product </t>
  </si>
  <si>
    <t xml:space="preserve">40-1-190 (A), (B), and (C) </t>
  </si>
  <si>
    <r>
      <t>40-35-</t>
    </r>
    <r>
      <rPr>
        <sz val="10"/>
        <rFont val="Calibri Light"/>
        <family val="2"/>
        <scheme val="major"/>
      </rPr>
      <t>5</t>
    </r>
    <r>
      <rPr>
        <sz val="10"/>
        <color theme="1"/>
        <rFont val="Calibri Light"/>
        <family val="2"/>
        <scheme val="major"/>
      </rPr>
      <t xml:space="preserve"> to 40-35-260</t>
    </r>
  </si>
  <si>
    <t>40-37-5 to 40-37-420</t>
  </si>
  <si>
    <r>
      <t>40-38-10 to 40-38-3</t>
    </r>
    <r>
      <rPr>
        <sz val="10"/>
        <rFont val="Calibri Light"/>
        <family val="2"/>
        <scheme val="major"/>
      </rPr>
      <t>4</t>
    </r>
    <r>
      <rPr>
        <sz val="10"/>
        <color theme="1"/>
        <rFont val="Calibri Light"/>
        <family val="2"/>
        <scheme val="major"/>
      </rPr>
      <t>0</t>
    </r>
  </si>
  <si>
    <r>
      <t>40-43-10 to 40-43-</t>
    </r>
    <r>
      <rPr>
        <sz val="10"/>
        <rFont val="Calibri Light"/>
        <family val="2"/>
        <scheme val="major"/>
      </rPr>
      <t>20</t>
    </r>
    <r>
      <rPr>
        <sz val="10"/>
        <color theme="1"/>
        <rFont val="Calibri Light"/>
        <family val="2"/>
        <scheme val="major"/>
      </rPr>
      <t>0</t>
    </r>
  </si>
  <si>
    <r>
      <t>40-57-10 to 40-57-</t>
    </r>
    <r>
      <rPr>
        <sz val="10"/>
        <rFont val="Calibri Light"/>
        <family val="2"/>
        <scheme val="major"/>
      </rPr>
      <t>810</t>
    </r>
  </si>
  <si>
    <r>
      <t>40-59-5 to 40-59-</t>
    </r>
    <r>
      <rPr>
        <sz val="10"/>
        <rFont val="Calibri Light"/>
        <family val="2"/>
        <scheme val="major"/>
      </rPr>
      <t>6</t>
    </r>
    <r>
      <rPr>
        <sz val="10"/>
        <color theme="1"/>
        <rFont val="Calibri Light"/>
        <family val="2"/>
        <scheme val="major"/>
      </rPr>
      <t>00</t>
    </r>
  </si>
  <si>
    <r>
      <t>Chapter 137-100 to 13</t>
    </r>
    <r>
      <rPr>
        <sz val="10"/>
        <rFont val="Calibri Light"/>
        <family val="2"/>
        <scheme val="major"/>
      </rPr>
      <t>7</t>
    </r>
    <r>
      <rPr>
        <sz val="10"/>
        <color theme="1"/>
        <rFont val="Calibri Light"/>
        <family val="2"/>
        <scheme val="major"/>
      </rPr>
      <t>-900.09</t>
    </r>
  </si>
  <si>
    <t>40-65-5 to 40-65-220</t>
  </si>
  <si>
    <r>
      <t>40-69-5 to 40-69-</t>
    </r>
    <r>
      <rPr>
        <sz val="10"/>
        <rFont val="Calibri Light"/>
        <family val="2"/>
        <scheme val="major"/>
      </rPr>
      <t>305</t>
    </r>
  </si>
  <si>
    <t>Title 41, Chapter 15, Article 1 (41-15-80 to 41-15-100)</t>
  </si>
  <si>
    <t>State workforce (employers and employees)</t>
  </si>
  <si>
    <t>General Industry employers and employees, Public Sector Marine Terminal employers and employees</t>
  </si>
  <si>
    <t>Construction employers and employees</t>
  </si>
  <si>
    <t xml:space="preserve">Yes </t>
  </si>
  <si>
    <t>Agriculture employers and employees</t>
  </si>
  <si>
    <t>29 USC 2</t>
  </si>
  <si>
    <t>Industry, Government Agency</t>
  </si>
  <si>
    <t>State's children</t>
  </si>
  <si>
    <t>Certain users of fireworks and explosives</t>
  </si>
  <si>
    <t>Schools, daycare facilities and individuals who wish to become foster parents</t>
  </si>
  <si>
    <t>licensees</t>
  </si>
  <si>
    <t>Hydrogen facility licensees</t>
  </si>
  <si>
    <t>2014-15: Yes, exit surveys
2015-16: Yes, exit surveys
2016-17: Yes, exit surveys</t>
  </si>
  <si>
    <t>Administration (Director's Office, Communications and Governmental Affairs, Procurement, Finance, Human Resources, Support Services, Records Retention, and Training and Development)</t>
  </si>
  <si>
    <t>Department of Technology and Security</t>
  </si>
  <si>
    <t>Legal Services (Office of Advice Counsel and Office of Disciplinary Counsel)</t>
  </si>
  <si>
    <t>Fire and Life Safety - South Carolina Fire Academy</t>
  </si>
  <si>
    <t>Professional and Occupational Licensing - Office of Board Services</t>
  </si>
  <si>
    <t xml:space="preserve">Professional and Occupational Licensing - Office of Investigations and Enforcement </t>
  </si>
  <si>
    <t>Provides fire and life safety programs and services, including training in-state and out-of-state fire service personnel</t>
  </si>
  <si>
    <t>Oversees the administrative and functional needs of 42 professional and occupational licensing boards</t>
  </si>
  <si>
    <t>Investigates complaints involving alleged misconduct by licensees</t>
  </si>
  <si>
    <t>Oversees the application and enforcement of state and federal laws related to occupational health and safety</t>
  </si>
  <si>
    <t>Additional Notes</t>
  </si>
  <si>
    <t>All Org Unit Turnover % FY14-15</t>
  </si>
  <si>
    <t xml:space="preserve">Administration </t>
  </si>
  <si>
    <t>Dept of Technology and Security</t>
  </si>
  <si>
    <t>Legal Services</t>
  </si>
  <si>
    <t>FLS - SC Fire Academy</t>
  </si>
  <si>
    <t>POL - Office of Board Services</t>
  </si>
  <si>
    <t>POL - Office of Investigations and Enforcement</t>
  </si>
  <si>
    <t>Labor - Elevators/Amusement Rides and Immg Compl</t>
  </si>
  <si>
    <t>Labor - OSHA</t>
  </si>
  <si>
    <t>FTE Org Unit Turnover % FY15-16</t>
  </si>
  <si>
    <t>All Org Unit Turnover % FY15-16</t>
  </si>
  <si>
    <t>Oversees the application and enforcement of laws related to elevators/amusement rides and immigration compliance</t>
  </si>
  <si>
    <t xml:space="preserve">Provides support services to all LLR program divisions, including responding to inquiries from the public and public officials and handling legislative affairs </t>
  </si>
  <si>
    <t xml:space="preserve">Administers information systems and end-user computing and administers mobile technology with regards to applicable laws and security mandated for agency programs </t>
  </si>
  <si>
    <t xml:space="preserve">Provides advice and legal services to POL Boards and agency; handles disciplinary cases, appeals, injunctions, and emergency suspensions of licenses; and assists boards in drafting orders, policies, and regulations. </t>
  </si>
  <si>
    <t>Offices of Elevators and Amusement Rides and Immigration Compliance</t>
  </si>
  <si>
    <t>Division of Occupational Safety and Health Administration</t>
  </si>
  <si>
    <t>FTE Org Unit Turnover %      FY14-15</t>
  </si>
  <si>
    <t>FTE Org Unit Turnover %     FY16-17</t>
  </si>
  <si>
    <t>All Org Unit Turnover %                 FY16-17</t>
  </si>
  <si>
    <t xml:space="preserve">Fire and Life Safety - Office of State Fire Marshal </t>
  </si>
  <si>
    <t>Conducts inspections to increase compliance with state fire safety regulations, conducts code consultation and plan review services</t>
  </si>
  <si>
    <t>Fire and Life Safety -  Emergency Response Task Force</t>
  </si>
  <si>
    <t>Supports LLR's role in emergency support functions within the State Emergency Response Plan and day-to-day operations</t>
  </si>
  <si>
    <t>FLS - Emergency Response Task Force</t>
  </si>
  <si>
    <t>FLS - Office of Sate Fire Marshal</t>
  </si>
  <si>
    <t xml:space="preserve">New Elevator Installation and Alterations Inspections </t>
  </si>
  <si>
    <t>Elevator and Amusement Ride Audits</t>
  </si>
  <si>
    <t>Accounting Practitioner and Certified Public Accountant Initial licenses and Renewal licenses</t>
  </si>
  <si>
    <t xml:space="preserve">Apprentice Auctioneer, Auctioneer, Purebred livestock auctioneer, and Tobacco auctioneer Initial Licenses and Renewals </t>
  </si>
  <si>
    <t>Barber, Barber Apprentice, Barber Instructor, Hair braider, Manicurist Barber Assistant, Master Hair Care Specialist, Shampooist Barber Assistant, Student Barber Initial Licenses and Renewals</t>
  </si>
  <si>
    <t>Boiler Installers, Certified Boiler Inspectors Initial Licenses and Renewals</t>
  </si>
  <si>
    <t>Chiropractic Preceptor, Chiropractor Initial Licenses and Renewals</t>
  </si>
  <si>
    <t>Cosmetologist, Esthetician, Instructor -  Cosmetologist, Instructor – Esthetician, Instructor - Nail Technician, and Nail Technician Initial Licenses and Renewals</t>
  </si>
  <si>
    <t>Marriage and Family Therapist, Marriage and Family Therapist Intern, Marriage and Family Therapy Supervisor, Professional Counselor, Professional Counselor Intern, Professional Counselor Supervisor, and Psycho-Educational Specialist Initial Licenses and Renewals</t>
  </si>
  <si>
    <t xml:space="preserve">Engineer -Associate, Engineer –Professional, Engineer-in-Training, Surveyor in training, Surveyor - Geographic Information Systems (GIS), Surveyor- Land (Tier A), Surveyor - Land (Tier B), and Surveyor- Photogrammetry Initial Licenses and Renewals </t>
  </si>
  <si>
    <t>Environmental Certification Initial Licenses and Renewals - Bottled Water Class Operator, Wastewater treatment operator biological Class D, Wastewater treatment operator physical/chemical Class B, Wastewater treatment operator physical/chemical Class C, Wastewater treatment operator physical/chemical Class D, Wastewater treatment operator, biological Class A, Wastewater treatment operator, biological Class B, Wastewater treatment operator, biological Class C, Wastewater treatment operator, biological trainee, Wastewater treatment operator, physical/chemical Class A, Wastewater treatment operator, physical/chemical trainee, Water distribution system operator Class A, Water distribution system operator Class B, Water distribution system operator Class C, Water distribution system operator Class D, Water distribution system trainee, Water treatment operator Class E, Water treatment operator trainee, Water treatment operator, Class A, Water treatment operator, Class B, Water treatment operator, Class C, Water treatment operator, Class D, Well Driller Borer (non-environmental), Well Driller Class A (can do all three subclassifications), Well Driller, Coastal Class B, Well Driller, Coastal Class C, Well Driller, Coastal Class D, Well Driller, Environmental Class B, Well Driller, Environmental Class C, Well Driller, Environmental Class D, Well Driller, Rock Class B, Well Driller, Rock Class C, Well Driller, Rock Class D</t>
  </si>
  <si>
    <t>Forester Initial Licenses and Renewals</t>
  </si>
  <si>
    <t>Landscape Architects Initial Licenses and Renewals</t>
  </si>
  <si>
    <t>LP Gas Appliance and Equipment Installer/servicer- Qualifying employee, LPG Cylinder Exchange Facility Qualifying Employee, LPG Dealer- Qualifying employee, LPG Reseller- Qualifying employee, LPG Transporter- Qualifying employee, and LPG Utility Gas Plant- Qualifying employee Initial Licenses and Renewals</t>
  </si>
  <si>
    <t>Community Residential Care Administrator, Community Residential Care Administrator Trainee (AIT), Community Residential Care Facility Administrator Preceptor, Nursing Home Administrator, Nursing Home Administrator Preceptor,  and Nursing Home Administrator Trainee (AIT) Initial Licenses and Renewal Licenses</t>
  </si>
  <si>
    <t>Manufactured Home Contractor, Manufactured Home Dealer - Authorized Official, Manufactured Home Installer, Manufactured Home Multi-Lot Salesperson, Manufactured Home Repairer, Manufactured Home Retail Salesman, and Manufactured Home Salesperson Apprentice Initial Licenses and Renewal Licenses</t>
  </si>
  <si>
    <t>Massage/Bodywork Therapist Initial Licenses and Renewals</t>
  </si>
  <si>
    <t xml:space="preserve">Board of Medical Examiners Initial Licenses and Renewal Licenses -Acupuncturist, Anesthesiologist's Assistant, Auricular Detoxification Therapist, Auricular Therapist, Cardiovascular Invasive Specialist, Medical Professor (academic license), Physician, Physician Assistant, Physician Expert Witness, Physician -Limited (training), Respiratory Care Practitioner (therapist or technician) </t>
  </si>
  <si>
    <t>Advanced Practice Registered Nurse with Prescription Privileges, Nurse Anesthetist, Nurse Midwife, Nurse Practitioner, Nurse Specialist – Clinical, Nurse- Licensed Practical, Nurse -Registered Initial Licenses and Renewal Licenses</t>
  </si>
  <si>
    <t>Occupational Therapist and Occupational Therapy Assistant Initial Licenses and Renewal Licenses</t>
  </si>
  <si>
    <t>Apprentice Optician, Contact Lens Optician, Optician and Optometrist- Therapeutic Initial Licenses and Renewal Licenses</t>
  </si>
  <si>
    <t>Pharmacist, Pharmacy Intern, Pharmacy Technician –Certified, Pharmacy Technician- Registered Initial Licenses and Renewals</t>
  </si>
  <si>
    <t xml:space="preserve">Physical Therapist, Physical Therapy Assistant Initial Licenses and Renewals </t>
  </si>
  <si>
    <t>Apprentice Pilot, First Short Branch Pilot, Fourth Short Branch Pilot, Harbor (full branch) Pilot, Second Short Branch Pilot-Third Short Branch Pilot Initial Licenses and Renewals</t>
  </si>
  <si>
    <t>Podiatrist, Podiatrist, training (limited license)</t>
  </si>
  <si>
    <t>Psychologist Initial Licenses and Renewal Licenses</t>
  </si>
  <si>
    <t>Appraiser- Apprentice, Appraiser-Certified General, Appraiser- Licensed, Appraiser-Mass, General Appraiser-Certified Mass, Residential Appraiser-Certified Mass, Residential Appraiser -Mass  Initial Licenses and Renewal Licenses</t>
  </si>
  <si>
    <t>Geologist, Geologist-In-training Initial Licenses and Renewal Licenses</t>
  </si>
  <si>
    <t xml:space="preserve">Social Worker-Baccalaureate, Social Worker-Clinical Practice Supervisor, Social Worker-Independent Advanced Practice, Social Worker-Independent Clinical Practice, Social Worker- Independent Advanced Practice Supervisor, Social Worker-Masters Initial Licenses and Renewal Licenses </t>
  </si>
  <si>
    <t>Soil Classifier, Professional and Soil-Classifier-in-Training Initial Licenses and Renewal Licenses</t>
  </si>
  <si>
    <t>Audiology Intern, Speech-Language Pathologist, Speech-Language Pathology Assistant, Speech-Language Pathology Intern Initial Licenses and Renewal Licenses</t>
  </si>
  <si>
    <t xml:space="preserve">Pyrotechnic Operator Commercial Indoor, Pyrotechnic Operator Commercial Outdoor, Pyrotechnic Operator Motion Picture, Pyrotechnic Operator Rockets, Pyrotechnic Operator Trainee, Pyrotechnic Operator Unrestricted, Pyrotechnic displays and Operators Licenses   </t>
  </si>
  <si>
    <t xml:space="preserve">Veterinarian, Veterinary Technician, Veterinarian trainee (temporary license for clinical experience) Initial Licenses and Renewal Licenses </t>
  </si>
  <si>
    <t xml:space="preserve"> SCDC facility compliance inspections</t>
  </si>
  <si>
    <t>Facility permits/licenses (pharmacy, salons, barbershops, cemeteries, funeral homes, dental sedation offices, and dealer lots for manufactured housing)</t>
  </si>
  <si>
    <t>Initial, Routine, and  Compliance  Inspections (Athletics, pharmacies, salons, barbershops, boilers, real estate, dental sedation offices, cemeteries, manufactured housing dealer lots, real estate offices, and veterinary locations).</t>
  </si>
  <si>
    <t xml:space="preserve">Resolution of allegations of misconduct against licensees through the board-specific disciplinary process </t>
  </si>
  <si>
    <t>E-Verification compliance audits</t>
  </si>
  <si>
    <t>Hydrogen Permitting and Inspection Program</t>
  </si>
  <si>
    <t>V-Safe Grant Administration</t>
  </si>
  <si>
    <t xml:space="preserve">DSS foster home fire safety and lead inspections, DDSN facility inspections, State Building Inspections </t>
  </si>
  <si>
    <t xml:space="preserve">Blasters, Explosives, and Fire Equipment Dealers Permits  </t>
  </si>
  <si>
    <t>Blasters, Explosives, and Fire Equipment Dealers Inspections</t>
  </si>
  <si>
    <t>Fire Marshal Training and Certificates</t>
  </si>
  <si>
    <t>Fire Code Enforcement</t>
  </si>
  <si>
    <t>Fire Cause and Origin Investigation</t>
  </si>
  <si>
    <t>Determine Eligibility for Income Tax Deduction by Volunteers</t>
  </si>
  <si>
    <t>Administration of Firefighter Mobilization Plan</t>
  </si>
  <si>
    <t>Registration of Firefighters</t>
  </si>
  <si>
    <t>LP Gas and Pyrotechnic Retailer  Licensing Inspections</t>
  </si>
  <si>
    <t>Licensure Exams for Professional and Occupational Boards</t>
  </si>
  <si>
    <t>Monitor Continuing Educational Requirements for Renewal Licensure</t>
  </si>
  <si>
    <t>License special inspectors for amusement ride and elevator inspections</t>
  </si>
  <si>
    <t xml:space="preserve"> Make available registry of licensees upon request</t>
  </si>
  <si>
    <t>License suspension for Family Independence Act violations</t>
  </si>
  <si>
    <t>Temporary professional and occupational licenses for military spouses</t>
  </si>
  <si>
    <t xml:space="preserve">Maintain naloxonesavessc.org website to facilitate licensed pharmacists to register and dispense Naloxone Hydrochloride products to persons without a prescription under certain conditions. </t>
  </si>
  <si>
    <t>Consultations (eliminate and prevent workplace injury)</t>
  </si>
  <si>
    <t>Trainings -Employers/Employees</t>
  </si>
  <si>
    <t>Closing Conference, inspection/investigation citation</t>
  </si>
  <si>
    <t>Reports (injury/illness)</t>
  </si>
  <si>
    <t>Rulemaking/Public Hearing/Variance</t>
  </si>
  <si>
    <t>Youth Safety Program (OSHA 10 classes, Safety Awareness classes)</t>
  </si>
  <si>
    <t>Partnerships/Alliances</t>
  </si>
  <si>
    <t>FOIA responses (protection of confidential, sensitive and/or trade secret information)</t>
  </si>
  <si>
    <t>Customer service (telephone calls, correspondence, in-person contact)</t>
  </si>
  <si>
    <t>Compliance Assistance (interpretive letters, technical assistance, guidance documents, custom industry information)</t>
  </si>
  <si>
    <t>Recognition Programs (VPP/Sharp/Safety Awards)</t>
  </si>
  <si>
    <t>Inspection/Investigation (Eliminate and prevent 11c discrimination and workplace injury)</t>
  </si>
  <si>
    <t>Informal Conference</t>
  </si>
  <si>
    <t>Undetected non-compliance may result in risk of physical harm and loss of life.</t>
  </si>
  <si>
    <t>Unlicensed or unprofessional practice may expose clients to financial risks in business transactions or unsuccessful audits.</t>
  </si>
  <si>
    <t xml:space="preserve">Unregulated professionals may give rise to the risk of physical harm to the fighter. </t>
  </si>
  <si>
    <t>Unlicensed or unprofessional practice may expose clients to unsanitary conditions and biological hazards</t>
  </si>
  <si>
    <t>Unlicensed or unprofessional practice may expose the public to the risk of damage to property or bodily harm.</t>
  </si>
  <si>
    <t xml:space="preserve">Unlicensed or unprofessional practice may result in property damage or bodily harm. </t>
  </si>
  <si>
    <t>Unlicensed or unprofessional practice may expose clients to psychological, mental or emotional damage.</t>
  </si>
  <si>
    <t>Unlicensed or unprofessional practice may expose patients to risk of personal injury or loss of life.</t>
  </si>
  <si>
    <t xml:space="preserve">Unlicensed or unprofessional practice may expose the public to environmental hazards, property damage and personal injury. </t>
  </si>
  <si>
    <t>Unlicensed or unprofessional practice may expose the public to property damage.</t>
  </si>
  <si>
    <t>Unlicensed or unprofessional practice may expose patients to risk of property damage, personal injury or loss of life.</t>
  </si>
  <si>
    <t>Unlicensed or unprofessional practice may expose the public to risk of property damage, personal injury or loss of life.</t>
  </si>
  <si>
    <t>Unlicensed or unprofessional practice may expose the public to risk of property damage or personal injury.</t>
  </si>
  <si>
    <t xml:space="preserve">Unlicensed or unprofessional practice may expose clients to financial risks in business transactions and/or audits. </t>
  </si>
  <si>
    <t>Unlicensed or unprofessional practice may expose the public to potential property damage.</t>
  </si>
  <si>
    <t>Unlicensed or unprofessional practice may expose the public to psychological, mental or emotional damage, as well as personal injury.</t>
  </si>
  <si>
    <t>Unlicensed or unprofessional practice may expose the public to potential property damage and personal injury.</t>
  </si>
  <si>
    <t xml:space="preserve">Unlicensed or unprofessional practice may expose the public to potential personal injury. </t>
  </si>
  <si>
    <t xml:space="preserve">Unlicensed or unprofessional practice may expose the public to potential environmental hazards, property damage, personal injury and loss of life. </t>
  </si>
  <si>
    <t xml:space="preserve">Unlicensed or unprofessional practice may expose the public to potential property damage, personal injury and loss of life. </t>
  </si>
  <si>
    <t>Non-compliance creates a risk of bodily injury and environmental hazards.</t>
  </si>
  <si>
    <t xml:space="preserve">Failure to investigate complaints will result in risk of property damage, personal injury and possible loss of life to the consuming public. </t>
  </si>
  <si>
    <t xml:space="preserve">Failure to prosecute misconduct will result in risk of property damage, personal injury and possible loss of life to the consuming public. </t>
  </si>
  <si>
    <t xml:space="preserve">Failure to register animal shelters will enhance nuisance created by stray animals and may create safety concerns in communities. </t>
  </si>
  <si>
    <t xml:space="preserve">Non-compliance  may destabilize the workforce, lead to undetected identity theft and less job security for families. </t>
  </si>
  <si>
    <t>Decrease response capabilities for volunteer fire departments.</t>
  </si>
  <si>
    <t>Untrained and uncertified fire code officials, leading to substandard and inconsistent enforcement of fire &amp; life safety codes.</t>
  </si>
  <si>
    <t>Cause and circumstance of fire is not determined and prevention efforts are hampered.</t>
  </si>
  <si>
    <t xml:space="preserve">Unverified competency prior to licensure may expose the public to risk of property damage, personal injury or loss of life. </t>
  </si>
  <si>
    <t xml:space="preserve">Unverified demonstration of sustained competency as a condition of license renewal may expose the public to risk of property damage, personal injury or loss of life. </t>
  </si>
  <si>
    <t xml:space="preserve">Failure to enforce child support obligations leads to destabilization of the family unit and deprives the most vulnerable South Carolinians of basic needs. </t>
  </si>
  <si>
    <t xml:space="preserve">Failure to accommodate qualified spouses of military service members imposes an undue burden on service members stationed in South Carolina. </t>
  </si>
  <si>
    <t xml:space="preserve">Failure to maintain this website makes it more difficult for pharmacists,  those at risk of opioid overdose and/or their caregivers to access information about the opioid antidote and for pharmacists to register to voluntarily participate in the program to dispense Naloxone without a prescription. </t>
  </si>
  <si>
    <t>Employee illness, injury and/or death.  The agency would also lose the 21d Federal Grant.</t>
  </si>
  <si>
    <t>Employee illness, injury and/or death</t>
  </si>
  <si>
    <t>Employee illness, injury and/or death.  The agency would also lost the BLS Federal Grant.</t>
  </si>
  <si>
    <t>Employee illness, injury and/or death.  The agency would lose the 23g Federal Grant, and the State of South Carolina would lose its State OSHA plan.</t>
  </si>
  <si>
    <t>Protected information is released.</t>
  </si>
  <si>
    <t>Public including employers and employees would not feel valued and appreciated.</t>
  </si>
  <si>
    <t>DHEC</t>
  </si>
  <si>
    <t>Department of Revenue</t>
  </si>
  <si>
    <t xml:space="preserve"> DHEC</t>
  </si>
  <si>
    <t>DHEC, DAODAS, DSS, Department of Mental Health</t>
  </si>
  <si>
    <t>DHEC, Department of Natural Resources</t>
  </si>
  <si>
    <t>DHEC, DSS, Department of Mental Health</t>
  </si>
  <si>
    <t>DHEC, DSS, DAODAS, Department of Mental Health</t>
  </si>
  <si>
    <t>DHEC, Department of Mental Health</t>
  </si>
  <si>
    <t>DHEC, DAODAS, Department of Mental Health</t>
  </si>
  <si>
    <t>Department of Revenue, DHEC</t>
  </si>
  <si>
    <t>DHEC, Department of Revenue</t>
  </si>
  <si>
    <t>DHEC, Department of Agriculture, Department of Natural Resources</t>
  </si>
  <si>
    <t>Department of Natural Resources</t>
  </si>
  <si>
    <t>DHEC, Department of Revenue, DSS, Department of Natural Resources, Department of Agriculture, SLED</t>
  </si>
  <si>
    <t>DSS</t>
  </si>
  <si>
    <t>Department of Labor, Licensing and Regulation</t>
  </si>
  <si>
    <t>Goal 1 - Ensure State Fire is a leader and focal point for service and support in South Carolina to preserve life and property</t>
  </si>
  <si>
    <t>Strategy 1.1:  Prevent fires and save lives and property through quality education and efficient enforcement, licensing, permitting, and engineering services.</t>
  </si>
  <si>
    <t>Objective 1.1.2- Provide effective and comprehensive Community Risk Reduction programs throughout the State.</t>
  </si>
  <si>
    <t>Objective 1.1.3 - Provide efficient and quality inspections when required by law or requested by local or state officials.</t>
  </si>
  <si>
    <t xml:space="preserve">Objective 1.1. 4 - Objective: Ensure the public’s fire and life safety by conducting plan reviews for fire sprinkler systems, building construction, L.P. gas systems, aboveground storage of flammable and combustible liquids, and hydrogen fueling systems for fire code compliance.  </t>
  </si>
  <si>
    <t>Strategy 1.2:  Save lives and minimize property loss by enhancing and coordinating firefighting and rescue resources to respond to statewide and local emergencies.</t>
  </si>
  <si>
    <t>Objective 1.2.1 - Coordinate, administer, and ensure the operational readiness of firefighting and rescue resources through the Firefighter Mobilization Plan.</t>
  </si>
  <si>
    <t>Objective 1.2.2 - Coordinate, administer, and ensure the operational readiness of the Emergency Response Task Force.</t>
  </si>
  <si>
    <t xml:space="preserve">Objective 1.2.3 - Coordinate and lead the agency’s emergency support functions in the State Emergency Management Operations Plan and provide support and response to other state and local entities during emergencies. </t>
  </si>
  <si>
    <t>Strategy 1.3:  Enhance the training and capabilities of South Carolina’s paid, volunteer, and industrial fire service personnel.</t>
  </si>
  <si>
    <t>Objective 1.3.1 - Develop course curriculum that meets the needs of the state’s fire and rescue community while ensuring testing standards that maintain course accreditation through the International Fire Service Accreditation Congress and the National Board on Fire Service Professional Qualifications.</t>
  </si>
  <si>
    <t>Objective 1.3.2 - Provide state-of-the-art facilities and equipment for the delivery of modern, relevant and realistic fire and rescue training.</t>
  </si>
  <si>
    <t>Objective 1.3.3 - Deliver on-campus and regional training programs that meet the needs of the state’s fire service community and enhance the operational readiness of South Carolina’s fire and rescue personnel.</t>
  </si>
  <si>
    <t>Objective 1.3.4 - Deliver on-campus and regional EMS education and training to meet the growing needs of the fire service and to contribute to an adequate EMS response force in South Carolina.</t>
  </si>
  <si>
    <t xml:space="preserve">Strategy 2.1:  Ensure the public’s health and safety by issuing licenses to qualified members of the public who meet the educational- and statutorily-required standards and by issuing permits to facilities that likewise demonstrate compliance with legal requirements and standards.  </t>
  </si>
  <si>
    <t xml:space="preserve">Objective 2.1.1 - Review initial applications, conduct background checks, and issue licenses, registrations and permits for individuals and facilities that meet the statutory requirements for 42 professional and occupational boards.  </t>
  </si>
  <si>
    <t>Objective 2.1.3 - Provide administrative support to the regulatory boards and commissions to enable them to organize board meetings, hold hearings, and otherwise conduct business.</t>
  </si>
  <si>
    <t>Objective 2.1.4 - Provide quality customer service to applicants, licensees and the public, including preparing verifications and certifications of licensure status; disseminating information to licensees with e-blasts, renewal notices, newsletters, and legislative updates; and handling inquiries regarding licensure requirements and scope of practice.</t>
  </si>
  <si>
    <t>Objective 2.1. 5 - Oversee and monitor continuing education requirements for licensees to ensure compliance with professional standards for applicable boards.</t>
  </si>
  <si>
    <t>Objective 2.2.1 - Conduct initial inspections of funeral homes, pharmacy facilities, mobile and portable dental units, dental sedation offices, barber shops and schools, and cosmetology salons and schools to ensure statutory compliance before issuance of a permit.</t>
  </si>
  <si>
    <t xml:space="preserve">Objective: 2.2.3 - Enforce compliance with professional standards by conducting inspections in response to complaints including issuing citations, cease and desist orders for unlicensed practice or for professional acts outside the scope of the profession.  </t>
  </si>
  <si>
    <t>Objective 2.3.1 -  Review and process complaints, insuring they meet jurisdictional requirements and sufficiency to initiate investigation of alleged violations.</t>
  </si>
  <si>
    <t>Objective 2.3.2 - Investigate complaints, including conducting witness interviews, analyzing evidence, and organizing, preparing for and attending Investigative Review Committee meetings.</t>
  </si>
  <si>
    <t>Goal 3 -Improve and protect the safety and health of South Carolina workers while ensuring employers' compliance with state law.</t>
  </si>
  <si>
    <t>Strategy 3.1:  Develop, implement, and facilitate programming that will aid in the improvement and protection of worker safety and health throughout the State.</t>
  </si>
  <si>
    <t xml:space="preserve">Strategy 3.2: Implement and enforce OSHA standards throughout the State to ensure that South Carolina workers are safe at work.  </t>
  </si>
  <si>
    <t xml:space="preserve">Objective 3.2.2-  Conduct investigations of reported injuries, fatalities, and alleged noncompliance with health and safety standards in the work place.  </t>
  </si>
  <si>
    <t>Objective 3.2.3 - Conduct focused inspections in industries with statistically higher numbers of                                        fatalities in specific geographical areas.</t>
  </si>
  <si>
    <t>Strategy 3.3: Train and educate South Carolina workforce and employers with respect to OSHA health and safety guidelines and standards.</t>
  </si>
  <si>
    <t>Objective 3.3.1 - Conduct timely, relevant trainings to employers statewide.</t>
  </si>
  <si>
    <t>Objective 3.3.2-  Provide consultation services to requesting employers.</t>
  </si>
  <si>
    <t>Objective 3.3.3 - Provide outreach services to employers seeking entry into the VPP or Sharp Recognition programs.</t>
  </si>
  <si>
    <t>Objective 3.3.4 - Provide Youth Safety Outreach Program throughout the State.</t>
  </si>
  <si>
    <t>Strategy 3.4:  Provide legal support and guidance to all labor programs within the agency to aid in the continued safety, health, and legal compliance of South Carolina worksites.</t>
  </si>
  <si>
    <t>Objective 3.4.1 - Provide legal representation, advice, and training to labor-related programs in the agency.</t>
  </si>
  <si>
    <t>Objective 3.5.1 - Prohibit the knowing or intentional employment of unauthorized workers by conducting audits of South Carolina’s private employers for compliance with the South Carolina Illegal Immigration Reform Act that requires new hires be verified through E-Verify.</t>
  </si>
  <si>
    <t>Objective 3.5.2 - Investigate complaints alleging non-compliance by employers with the South Carolina Illegal Immigration Reform Act, forwarding those complaints alleging violation of state or federal laws that fall within jurisdiction of an enforcing agency (for example, Federal Immigration and Customs Enforcement (ICE) or the South Carolina Department of Public Safety, Immigration Enforcement Unit).</t>
  </si>
  <si>
    <t>Objective 3.5.3 -  Register and inspect Immigration Assistance Service providers.</t>
  </si>
  <si>
    <t>Objective 3.5.4 - Verify lawful presence in the United States of aliens applying for a professional or occupational license through the Systematic Alien Verification of Entitlement (SAVE) program operated by the U.S. Department of Homeland Security.</t>
  </si>
  <si>
    <t>Strategy 3.6 - Ensure lawful treatment of employees under state law by investigating complaints alleging violations of the Payment of Wages Act and Child Labor Laws.</t>
  </si>
  <si>
    <t>Objective 3.6.3 - Enforce Payment of Wages Act and Child Labor Laws by holding informal conferences and issuing warnings and citations for confirmed violations.</t>
  </si>
  <si>
    <t>Goal 4- Protect the riding public and industry personnel in the enjoyment and use of public amusement ride devices and elevators in South Carolina</t>
  </si>
  <si>
    <t>Objective 4.1.1 - Register and issue permits and operating certificates to those elevators that qualify after demonstrating compliance with legal standards and requirements.</t>
  </si>
  <si>
    <t>Goal 5-  Ensure the agency performs at a high level by offering its division's high quality legal and administrative services; employee training and development; investment in technology and infrastructure; and by fostering a culture of excellence.</t>
  </si>
  <si>
    <t>Strategy 5.1. -Provide effective and quality prosecutorial legal support to the agency.</t>
  </si>
  <si>
    <t>Strategy 5.2 - Provide exemplary in-house legal services to the agency’s divisions and professional and occupational boards.</t>
  </si>
  <si>
    <t>Objective 5.2.2 - Serve as counsel to all divisions of the agency in reviewing contracts, providing legal advice, and otherwise ensuring legal expertise and support.</t>
  </si>
  <si>
    <t>Objective 5.3.3 - Provide legislative support and direction in monitoring legislation affecting the agency, proffering testimony before legislative committees regarding such legislation, and communicating with board staff and board members regarding the impact of any proposed legislation.</t>
  </si>
  <si>
    <t>Strategy 5.4 - Streamline the information technology infrastructure and continue to allow for automation of the many agency functions.</t>
  </si>
  <si>
    <t>Objective 5.4.1 - Enhance the agency’s software application portfolio to continue to strengthen coordination and performance across agency programs.</t>
  </si>
  <si>
    <t xml:space="preserve">Agency Permits/Certificates (Elevator -new installation and alteration permits and certificates of operation and Amusement Device Permits)  </t>
  </si>
  <si>
    <t>S.C. Code Ann. §41-16-90 Permits for new installations (elevators);
41-16-80 Alteration permits (elevators);
41-16-100 Operating certificates (elevators);
41-18-50 Permit required; duration of permit; revocation (amusement device)</t>
  </si>
  <si>
    <t>S.C. Code Ann. §41-16-70 Inspections</t>
  </si>
  <si>
    <t>S.C. Code Ann. §40-2-35 Requirements for license to practice (CPA);
40-2-250 Renewal of licenses; renewal of registration;
40-2-550  Applicant qualifications (accounting practitioner);
40-2-560  Issuance of licenses</t>
  </si>
  <si>
    <t>Professional and Occupational Licensing  - Office of Board Services</t>
  </si>
  <si>
    <t>Architect Initial Licenses and Renewal</t>
  </si>
  <si>
    <t>S.C. Code Ann. §40-3-30 Licensing, certificate of authorization, and registration requirements;
S.C. Code of Reg. Chapter 11, Section 5 Applications and Fees; Chapter 11, Section 8 Renewals</t>
  </si>
  <si>
    <t xml:space="preserve">Athletics- Announcer, Athletics –Judge, Athletics –Manager, Athletics –Matchmaker, Mixed martial arts contestant—amateur, Mixed martial arts contestant—professional, Off the street boxer, Professional boxer, Professional kick boxer, Promoter, Promoter's representative, Referee, Second, Timekeeper, Trainer and Wrestler Initial Licenses </t>
  </si>
  <si>
    <t>S.C. Code Ann. §40-81-230 Issuance of licenses;
S.C. Code of Reg. Chapter 20, Sections 4.1 to 4.12 Licenses and Permits for Boxing;
Chapter 20, Sections 20-22.2 to 22.4 Licenses and Permits for Kick Boxing;
Chapter 20, Sections 20-23.2 to 23.9 Licenses and Permits for Wrestling;
Chapter 20, Section 27.17 Licensing for Mixed Martial Arts</t>
  </si>
  <si>
    <t>S.C. Code Ann. §40-6-240 Term of licenses; renewal;
40-6-250 License required;
S.C. Code of Reg. Chapter 14, Section 17 License Certification</t>
  </si>
  <si>
    <t>S.C. Code Ann. §40-7-30 Licensure requirement;
40-7-230 Barber assistant; requirements for licensure; certificate of registration for registered barber apprentice, registered barber, or master haircare specialist;
40-7-255 Hair braiding practitioner registration; training; term and renewal of registration;
S.C. Code of Reg. Chapter 17, Sections 8 to 13 Barber Students;
Chapter 17 Section 51 Minimum Requirements for Licensing of Cosmetologists as Master Hair Care Specialists</t>
  </si>
  <si>
    <t>S.C. Code Ann. §40-14-80 Certification of special inspectors; examination</t>
  </si>
  <si>
    <t>Building Code Enforcement Officer (provisional), Building Official, Commercial Inspector, Commercial Plans Examiner, Modular Building Manufacturer's Representative, Residential Inspector, Residential Plans Examiner, Single discipline inspector, Special Inspector Initial Licenses and Renewals</t>
  </si>
  <si>
    <t xml:space="preserve">S.C. Code Ann. §6-8-40 Registration requirement for codes enforcement officer, contract inspector and special inspector; penalties;
6-8-60 Application for registration; special and general registration;            6-8-70 Duration of certificates; renewal; continuing education requirements; funding;         S.C. Code of Reg. Chapter 8, Section 115 Classifications and Qualifications for Registration                                         </t>
  </si>
  <si>
    <t>S.C. Code Ann. §40-9-10 Definitions (chiropractic preceptor);
40-9-20 License required; students participating in a preceptorship or residency training program excepted;
S.C. Code of Reg. Chapter 25, Sections 2 to 4  Licensure</t>
  </si>
  <si>
    <t>Contractors -Concrete Contractor - Primary Qualifying Party, Construction Manager- General, Construction Manager- Mechanical, Electrical Mechanical Contractor- Primary Qualifying Party, Fire Alarm Contractor -Primary Qualifying Agent, Fire Alarm Contractor- Registered Employee, Fire Sprinkler Contractor - Primary Qualifying Party, General Roofing Contractor- Primary Qualifying Party, Glass &amp; Glazing Contractor- Primary Qualifying Party, Heating Mechanical Contractor- Primary Qualifying Party, Highway Asphalt Paving Contractor -Primary Qualifying Party, Highway Bridges Contractor- Primary Qualifying Party, Highway Concrete Paving Contractor -Primary Qualifying Party, Highway General Contractor- Primary Qualifying Party, Highway Grading Contractor- Primary Qualifying Party, Highway incidental Contractor, Primary Qualifying Party, Inspector- Commercial, Interior Renovation Contractor -Primary Qualifying Party, Lighting Protection Systems Mechanical Contractor - Primary Qualifying Party, Marine Contractor, - Primary Qualifying Party, Masonry Contractor, Primary Qualifying Party, Packaged Heating and Cooling Equipment Contractor- Primary Qualifying Party, Pipelines Contractor- Primary Qualifying Party, Plumbing Mechanical Contractor, Primary Qualifying Party, Pre-Engineered Metal Buildings Contractor - Primary Qualifying Party, Pressure and Process Piping Mechanical Contractor- Primary Qualifying Party, Public Utility Electrical Contractor- Primary Qualifying Party, Public Utility General Contractor- Primary Qualifying Party, Railroad Lines Contractor- Primary Qualifying Party, Refrigeration Mechanical Contractor -Primary Qualifying Party, Specialty Roofing Contractor- Primary Qualifying Party, Structural Framing Contractor-Primary Qualifying Party, Structural Shapes Contractor- Primary Qualifying Party, Swimming Pools Contractor-Primary Qualifying Party, Water and Sewer Lines General Contractor- Primary Qualifying Party, Water and Sewer Plants Contractor -Primary Qualifying Party</t>
  </si>
  <si>
    <t>S.C. Code Ann. §40-11-30 Licensing requirement;
40-11-250 Renewal of license; lapsed license;
40-11-400 Qualifying party certificates;
40-11-410 License classifications and subclassifications;
S.C. Code of Reg. Chapter 29, Sections 70 to 100 Regulations Administering Fire Protection Sprinkler Systems Act; 40-79-220 Branch office and registered employee requirements (alarms systems)</t>
  </si>
  <si>
    <t>S.C. Code Ann. §40-13-230 Qualifications for licensure; cosmetologist; esthetician; nail technician;
40-13-250 Biennial renewal of licenses; expiration; reinstatement; reexamination; inactive licenses;
40-13-310 Minimum curriculum for schools and qualifications for instructors; instructor's license; fee; renewal;
S.C. Code of Reg. Chapter 35, Section 4 Instructor Qualifications and Applications;
Chapter 35, Section 9. Instructor Renewal License;
Chapter 35, Section 26 Minimum Requirements for Crossover Between Licensed Cosmetologists and Master Hair Care Specialists</t>
  </si>
  <si>
    <t>S.C. Code Ann. §40-75-30 Licensure requirement;
40-75-250 Issuance of license; display; renewal;
S.C. Code of Reg. Chapter 36, Sections 04 to 12 Licensing Provisions</t>
  </si>
  <si>
    <t>S.C. Code Ann. §40-15-120 Penalties for practice of dentistry or dental hygiene without license and for performance of dental or orthodontic technological work by unregistered person;
40-15-220. License to practice specialty;
S.C. Code of Reg. Chapter 39, Section 1 License to Practice Dentistry;
Chapter 39, Section 2 License of Practice Dental Hygiene;
Chapter 39, Section 3 Registration as a Dental Technician;
Chapter 39, Section 5 Registration of Licenses or Certificates</t>
  </si>
  <si>
    <t>Dietician Initial Licenses and Renewals</t>
  </si>
  <si>
    <t>S.C. Code Ann. §40-20-30 Licensing requirement;
40-20-55 Administration of Panel; fees;
40-20-60 Application; contents;
40-20-80 Renewal of license; late fees; inactive status; reinstatement and expiration</t>
  </si>
  <si>
    <t>S.C. Code Ann. §40-22-50 Duties of board; promulgation of examination, licensing, and registration fees; records; register of applications for certificates of authorization; roster;
40-22-210 Eligibility requirement for license as engineer;
40-22-220 Licensure requirements; engineer-in-training; professional engineer; examination;
40-22-222 Licensing of existing engineers; review process;
40-22-225 Eligibility requirement for license as surveyor;
40-22-240 Renewal of registration; fees and late fees; lapsed license; continuing professional competency requirement;
S.C. Code of Reg. Chapter 39, Section 202 Classifications and Scopes of Authority; Engineers and Surveyors</t>
  </si>
  <si>
    <t>S.C. Code Ann. §40-23-30 Environmental systems operator licensure requirement;
40-23-230 Issuance, renewal, and reinstatement of licenses; notification of address change;
40-23-300 Certification classifications;
40-23-305 Wastewater treatment operator licenses;
40-23-310 Water distribution system operator licenses;
40-23-320 Well drilling licenses; categories; classes.</t>
  </si>
  <si>
    <t>S.C. Code Ann. §48-27-120 Licensing and registration as registered foresters; exceptions;
48-27-190 Expiration and renewal of licenses; renewal fees;
S.C. Code of Reg. Chapter 53, Section 7 Application for Registration;
Chapter 53, Section 9 Expiration and Renewal</t>
  </si>
  <si>
    <t>Embalmer, Embalmer Apprentice, Embalmer Student, Funeral Director, Funeral Director Apprentice, Funeral Director Student Initial Licenses and Renewals</t>
  </si>
  <si>
    <t>S.C. Code Ann. §40-19-30 required licenses; permit restrictions regarding unlicensed persons; exemption;
40-19-50 Administrative and fiscal activities of board to be provided by Department of Labor, Licensing and Regulation;
40-19-230 Qualifications for license as embalmer for funeral director; examinations; conditions for licensure without examination; renewal of licenses;
40-19-240 Apprentices; application; certificate; periodic reporting; eligibility for licensure; sponsor limitations;
40-19-245 Student permits to engage in practice of funeral service;
S.C. Code of Reg. Chapter 57, Sections 04 to 09 Licensing Provisions</t>
  </si>
  <si>
    <t>S.C. Code Ann. §40-28-30  Licensure; qualifications;
40-28-40 Application form for licensure;
40-28-60 Renewal of license; requirements; reinstatement of license after lapse; return to active practice of emeritus landscape architect;
40-28-80 Administration of licensure program by Department of Labor, Licensing and Regulation; annual fees;
S.C. Code of Reg. Chapter 76, Section 2 Registration;
Chapter 76, Section 5 License Expiration, Renewals and Reinstatement</t>
  </si>
  <si>
    <t>S.C. Code Ann. §40-82-30 Unlawful acts without license; exemption;
40-82-50 Department to provide administrative and other support of board operations and activities;
40-82-220 License application requirements for various persons or entities; renewal</t>
  </si>
  <si>
    <t>S.C. Code Ann. §40-35-40 Issuance of license; qualifications and requirements;
S.C. Code of Reg. Chapter 93, Section 70 Additional combination of education and experience acceptable by the Board; Criminal Background Check; Completion of probation or parole;
Chapter 93, Section 80 Administrator-in-Training Program Requirements;
Chapter 93, Section 200 Continuing Education for Relicensure</t>
  </si>
  <si>
    <t>S.C. Code Ann. §40-29-30 License requirement; administrative penalty; appeal;
40-29-40 Operations and activities provided by Department of Labor, Licensing and Regulation;
40-29-200 License expiration; applicant requirements for license.</t>
  </si>
  <si>
    <t>S.C. Code Ann. §40-30-110 Qualifications for license;
40-30-60 Employees; duties;
S.C. Code of Reg. Chapter 77, Section 100 Qualifications for Licensure</t>
  </si>
  <si>
    <t xml:space="preserve">Board of Medical Examiners Initial Licenses and Renewal Licenses -Acupuncturist, Anesthesiologist's Assistant, Auricular Detoxification Therapist, Auricular Therapist, Cardiovascular Invasive Specialist, Medical Professor (academic license), Physician, Physician Assistant, Physician -Limited (training), Respiratory Care Practitioner (therapist or technician) </t>
  </si>
  <si>
    <t>S.C. Code Ann. §40-47-31 Limited and temporary licenses; 40-47-32 Permanent licenses; requirements; examinations; post-graduate medical residency training requirements; fee; 40-47-33 Academic license; qualifications; responsibility of dean for compliance with practice limitations; 40-47-41 License renewal; notification of change of address or adverse disciplinary action in another jurisdiction; 40-47-50 Administrative support; fees to cover costs of operation of board; maintenance of records; 40-47-520 Licensing requirement (respiratory care); 40-47-640 Renewal and reinstatement of licenses (respiratory care); 40-47-720 License to practice acupuncture; requirements and qualifications; temporary licenses; 40-47-730 Licenses to perform auricular therapy; qualifications; temporary licenses; 40-47-735 Licenses to perform auricular detoxification therapy; qualifications; temporary licenses; 40-47-940 Application for license; appearance before (Physician Assistant) committee; temporary and permanent licenses; 40-47-1240 Licensure of anesthesiologist's assistants; 40-47-1290 License renewal; 40-47-15-1530 Registration requirement (cardiovascular invasive specialist); 40-47-1540 Application for registration; 40-47-1550 Renewal; lapse of registration.</t>
  </si>
  <si>
    <t>S.C. Code Ann. §40-33-30 Licensing requirement; use of title "nurse"; exceptions; establishment of policies to cover special health care needs;
40-33-20 Definitions;
40-33-38 Renewal of licenses</t>
  </si>
  <si>
    <t>S.C. Code Ann. §40-36-30 Required licenses; practice while license suspended or revoked; penalty;
40-36-50 Administrative and fiscal activities of board to be provided by Department of Labor, Licensing and Regulation; establishment of fees;
S.C. Code of Reg. Chapter 94, Sections 04 to 07 Licensing Provisions.</t>
  </si>
  <si>
    <t>S.C. Code Ann. §40-38-50 Administration of Board by Department of Labor, Licensing and Regulation;
40-38-240 Qualifications for licensure as optician or contact lens optician;
40-38-260 Annual renewal of licenses and registrations; revocation for default; reinstatement; continuing education requirements</t>
  </si>
  <si>
    <t>Optometrist Initial Licensing and Renewals</t>
  </si>
  <si>
    <t>S.C. Code Ann. §40-37-240 Licensure requirements; display, renewal, and reinstatement of license</t>
  </si>
  <si>
    <t>S.C. Code Ann. §40-43-80 Qualifications of applicants for pharmacy license examination;
40-43-80 Pharmacy technicians; registration; approval of training programs; minimum requirements; pharmacists previously disciplined not eligible to be technicians; volunteers at free medical clinics
40-43-84 Internship and externship certificates; program requirements; intern and extern restrictions; requirements for supervisory site and pharmacist
40-43-85 Notification form regarding internship; practical experience; experience gained outside State; credit for externship programs; requirements for site and supervising pharmacists</t>
  </si>
  <si>
    <t>S.C. Code Ann. §40-45-30 Required licenses; practice while license suspended or revoked; practice  without license; penalties;
40-45-50 Administrative and fiscal responsibilities of board to be provided by Department of Labor, Licensing and Regulation; establishment of fees</t>
  </si>
  <si>
    <t xml:space="preserve">S.C. Code Ann. §54-15-110 Licenses or branches and oath of pilots and apprentices
</t>
  </si>
  <si>
    <t>S.C. Code Ann. §40-51-60 Preceptorships and residency program;
40-51-65 License required to practice; examination; qualifications; temporary license;
40-51-140 Annual renewal of licenses; continuing education requirements</t>
  </si>
  <si>
    <t>S.C. Code Ann. §40-55-55 Licensure requirement;
40-55-80 Application for license; qualifications of applicants</t>
  </si>
  <si>
    <t>S.C. Code Ann. §40-60-20 Definitions;
40-60-30 License requirement; exceptions; 40-60-33 Educational and applicable experience requirements;
40-60-35 Continuing education requirements; exceptions</t>
  </si>
  <si>
    <t>S.C. Code Ann. §40-57-20 Valid licensure requirement for real estate brokers, salespersons, and property managers;
40-57-110 Issuance and classification of license; inactive status; renewal; lapse</t>
  </si>
  <si>
    <t>S.C. Code Ann. §40-77-30 Submission of evidence of qualifications to practice; requirement to register;
40-77-50 Provision of staffing, fiscal, and licensing operations and activities by Department of Labor, Licensing and Regulation;
40-77-230 Eligibility for registration; qualifications; certificate of registration</t>
  </si>
  <si>
    <t>S.C. Code Ann. §40-59-20 Definitions;
40-59-220. Licenses and certificates of registration; application; qualifications; bonds; examinations; reciprocity;
40-59-230 Renewal; continuing education; notification of change of circumstances;
40-59-520 Licensing requirement (home inspector); licensing of business entity;
S.C. Code of Reg. Chapter 106, Section 1 Classification of Residential Specialty Contractors; Chapter 106, Section 2 Residential Specialty Contractors License; Chapter 106, Section 4 Qualifications for Home Inspectors</t>
  </si>
  <si>
    <t>S.C. Code Ann. §40-63-30 License as a prerequisite to practice or offer to practice; providing social work services through telephone or electronic means;
40-63-250 Issuance of license; display; indication of title on documents; renewal; lapse</t>
  </si>
  <si>
    <t>S.C. Code Ann. §40-65-20 Administration of chapter; department is agency of registration; appointment and membership of advisory council;
40-65-36 Issuance of license; prima facie evidence; issuance of certification; fees; limitations; examination, reciprocity;
40-65-38 Renewal of license; requirements; reinstatement of license after lapse</t>
  </si>
  <si>
    <t>S.C. Code Ann. §40-67-220 Period of licensure; submitted or documented evidence; inactive licensure;
40-67-270 Renewal periods; renewal fee; evidence of continuing education; reinstatement of license</t>
  </si>
  <si>
    <t>S.C. Code Ann. §40-69-220 Application for veterinary license examination; conduct and evaluation of examination;
40-69-230 Application for veterinary technician license examination; qualifications; conduct and evaluation of examination</t>
  </si>
  <si>
    <t>S.C. Code Ann. §24-9-20 Inspection of State and local facilities housing prisoners or pretrial detainees; reports</t>
  </si>
  <si>
    <t>Facility permits/licenses for accounting, architectural, auction, engineering, landscape architectural,  and surveying firms; contractors and builders; alarm businesses; pharmacies, non-dispensing drug outlets, medical gas and prescription device dispensers; salons; barbershops, cemeteries, funeral establishments; dental sedation offices and mobile dental units, and dealer lots for manufactured housing;  real estate appraisal management companies; school approvals for nursing schools, cosmetology schools, barber schools;</t>
  </si>
  <si>
    <t>S.C. Code Ann. §40-2-40 Grant or renewal of registration to practice as a firm (accounting); 40-3-30 Licensing, certificate of authorization, and registration requirements (architecture); 40-6-235 Requirements for license as an auction firm; 40-7-320 Barbershops to be registered; 40-7-350 License required for barber colleges and instructors;                       40-8-40 Licensure requirements, "perpetual Care: and "No Perpetual Care" designations; 40-10-41 Licensing provisions (fire sprinkler contractors); 40-11-30 Licensing requirement (general and mechanical contractors); 40-13-300 Licensing of salons; issuance and display of license; license not transferrable; 40-13-340 Licensing of schools; submission of floor plan and student contract form; bond required; actions for breach of contract (cosmetology); 40-15-172 Mobile dental facilities or mobile dental operations; registration; 40-15-400 Permits; applications; fees (Dental Sedation Act); 40-19-270 Permit for funeral establishment; 40-22-50 Duties of board; promulgation of examination, licensing, and registration fees; records; register of applications for certificates of authorization (engineering and surveying firms); 40-28-160 Practice by partnerships and corporations (landscape architecture); 40-29-30 License requirement (manufactured home dealers and manufacturers); 40-43-83  In-state facilities dealing with prescription drugs; out of state facilities in mail order pharmacy service; permits; 40-60-330 Registration; requirements (appraisal management companies); 40-59-410 Residential business certificate of authorization as requirement for firm to engage in residential building, residential specialty contracting, and home inspecting; 40-79-230 Application for licensure (alarm business) S.C. Code of Reg. Chapter 91, Sections 91-3 to 91-13 Nursing Education Programs Regulations</t>
  </si>
  <si>
    <t>Initial, Routine, and  Compliance  Inspections Athletic events, pharmacies, salons, barbershops, boilers, funeral establishments, dental sedation offices, cemeteries, manufactured housing dealer lots, real estate offices.</t>
  </si>
  <si>
    <t>Professional and Occupational Licensing  - Office of Investigations and Enforcement</t>
  </si>
  <si>
    <t>S.C. Code Ann. §40-1-80 Investigations;
40-1-90 Disciplinary action proceedings</t>
  </si>
  <si>
    <t>S.C. Code Ann. §40-47-110 Misconduct constituting grounds for disciplinary action; temporary suspensions; review of final actions; conduct subverting security or integrity of medical licensing exam process;
40-47-117 Formal complaint; service; answer; formal hearing by panel; filing of report with board; board action; notice;
40-47-118 Discovery; exchange of information and evidence; depositions; prehearing motions;
40-47-119 Information to be exchanged before hearing; admissibility; identification of relevant portions of information;
40-47-590(C) Responsibilities of committee (Respiratory care committee); investigatory powers of board;
40-55-130 Complaint to board against licensed psychologist; investigation; accusation; notice; hearing; confidentiality of proceedings; privileged communications
40-69-190 Complainant's rights; disciplinary hearings; release of information while proceeding pending; final order; contents and public inspection;
40-81-450 Administrative citations, cease and desist orders, and penalties (Athletic Commission);
S.C. Code of Reg. Chapter 91, Section 19 Procedure for Disciplinary Hearings (nurses)</t>
  </si>
  <si>
    <t>Division of Legal Services</t>
  </si>
  <si>
    <t xml:space="preserve">S.C. Code Ann. §40-69-300 Registration of animal shelters that provide veterinary services; </t>
  </si>
  <si>
    <t>Professional and Occupational Licensing   - Office of Board Services</t>
  </si>
  <si>
    <t>S.C. Code Ann. 41-8-20; South Carolina employment licenses; federal work authorization program; requirements for verification of new employees; contractors and subcontractors;        41-8-50 Violations; investigations; suspension and revocation of license; 41-8-120 Promulgation of regulations; statewide random auditing program</t>
  </si>
  <si>
    <t>S.C. Code Ann. §23-10-10 Operation of South Carolina Fire Academy; Fire Academy advisory committee created; membership</t>
  </si>
  <si>
    <t>S.C. Code Ann. §23-9-550; Fire Marshal Duties   S.C. Code of Reg. Chapter 71, Section 8306.1 to 8306.5 Hydrogen Facilities Fire Marshal Regulations</t>
  </si>
  <si>
    <t>V-SAFE Grant Administration</t>
  </si>
  <si>
    <t>S.C. Code Ann. §23-9-25 (F)(1) Volunteer Strategic Assistance and Fire Equipment Program; purpose; administration of grants.</t>
  </si>
  <si>
    <t>S.C. Code Ann. §23-9-50 Authority to inspect buildings or premises</t>
  </si>
  <si>
    <t>S.C. Code Ann. §23-36-80 Promulgation of Regulations by Division of State Fire Marshal; administrative procedures applicable; enforcement of chapter by State Fire Marshal;
23-9-45 Class D fire equipment dealer license or fire equipment permit; proof of training; fees;
S.C. Code of Reg. Chapter 71, Sections 8302.3. to 8302.4 Fire Marshal Explosives Regulations;
Chapter 71, Sections 8303.1 to 8303.18 Fire Marshal Portable Fire Extinguishers and Fixed Fire Extinguishing System Regulations</t>
  </si>
  <si>
    <t>S.C. Code Ann. §23-36-80 Promulgation of Regulations by Division of State Fire Marshal; administrative procedures applicable; enforcement of chapter by State Fire Marshal;
23-9-60 Duty to require conformance with minimum fire prevention and protection standards;
S.C. Code of Reg. Chapter 71,  Section 8303.3. B.5 Portable Fire Extinguishers and Fixed Fire Extinguishing System Regulations;
Chapter 71, Sections 8302.5 to 8302.7 Fire Marshal Explosives Regulations</t>
  </si>
  <si>
    <t>S.C. Code Ann. §23-9-30  Resident fire marshals; persons who may act under authority of State Fire Marshal</t>
  </si>
  <si>
    <t>S.C. Code Ann. § 23-9-40 Duty of State Fire Marshal to enforce certain laws and ordinances; 23-9-60 Duty to require conformance with minimum fire prevention and protection standards</t>
  </si>
  <si>
    <t>S.C. Code Ann. §23-9-40(f); Duty of State Fire Marshal to enforce certain laws and ordinances; 23-9-210 Creation of Program; advisory committee; laboratory services; 23-9-220; Duties and responsibilities; 23-9-230 Powers of investigators and of program (Arson Control); S.C. Code of Reg. Chapter 71, Section 8300.6 B</t>
  </si>
  <si>
    <t>S.C. Code Ann. §23-9-190  Determining eligibility for income tax deduction by volunteer fighters, rescue squad members, and Hazardous Materials Response Team Members</t>
  </si>
  <si>
    <t>S.C. Code Ann. §23-49-30 Officers; meetings; vacancies;
23-49-70 State and regional coordinators</t>
  </si>
  <si>
    <t>S.C. Code Ann. §40-80-30  Registration, maintenance, and availability of information</t>
  </si>
  <si>
    <t xml:space="preserve">S.C. Code Ann. §23-9-20 Additional duties of State Fire Marshal;
23-9-40 Duty of State Fire Marshal to enforce certain laws and ordinances;
S.C. Code of Reg. Chapter 71, Section 8305.3 D  Fire Marshal Fireworks and Pyrotechnics Regulations </t>
  </si>
  <si>
    <t xml:space="preserve">S.C. Code Ann. §40-1-50(A) Authority of department; record of proceedings, roster of licensees; fee structures; 40-82-230 Examinations and equivalencies </t>
  </si>
  <si>
    <t>S.C. Code Ann. §40-1-50(A) Authority of department; record of proceedings, roster of licensees; fee structures</t>
  </si>
  <si>
    <t>S.C. Code Ann. §41-18-80 Inspection procedures</t>
  </si>
  <si>
    <t>S.C. Code Ann. §40-1-50(C) Authority of department; record of proceedings, roster of licensees; fee structures</t>
  </si>
  <si>
    <t>S.C. Code Ann. §40-1-50(H) Authority of department; record of proceedings, roster of licensees; fee structures</t>
  </si>
  <si>
    <t>S.C. Code Ann. §40-1-630 Temporary professional licenses; applications</t>
  </si>
  <si>
    <t>S.C. Code Ann. §44-130-40 Pharmacists may dispense opioid antidote; joint written protocol</t>
  </si>
  <si>
    <t xml:space="preserve">S.C. Code Ann. §41-15-80 Employers shall furnish safe place; compliance of employers and employees to certain rules;
41-15-90 Employers shall inform employees of protections and obligations; exceptions;
41-15-100 Exposure of employees to potentially harmful materials; S.C. Code of Reg. Chapter 71, Sections 100 to  113 General provisions OSHA Regulations
 </t>
  </si>
  <si>
    <t xml:space="preserve">No </t>
  </si>
  <si>
    <t>S.C. Code Ann. §41-15-80 Employers shall furnish safe place; compliance of employers and employees to certain rules;
41-15-90 Employers shall inform employees of protections and obligations; exceptions;
41-15-100 Exposure of employees to potentially harmful materials;
S.C. Code of Reg. Chapter 71, Sections 100 to  113 General provisions OSHA Regulations</t>
  </si>
  <si>
    <t>S.C. Code of Reg. Chapter 71, Sections 400 to 411 OSHA Enforcement of Violations Regulations; Chapter 71, Sections 500 to 512 OSHA Inspection Regulations</t>
  </si>
  <si>
    <t>29 USC 2 Collection, collation, and reports of labor statistics</t>
  </si>
  <si>
    <t xml:space="preserve">S.C. Code Ann. §41-15-80 Employers shall furnish safe place; compliance of employers and employees to certain rules;
41-15-90 Employers shall inform employees of protections and obligations; exceptions;
41-15-100 Exposure of employees to potentially harmful materials;
41-15-210 Commissioner may promulgate, modify or revoke rules and regulations; 
41-15-220 Notice and hearing; occupational safety and health standards not subject to Administrative Procedure Act; rebuttable presumptions created by publication of notice;
41-15-230 Effective dates;
41-15-240 Temporary permits for variances;
41-15-250 Permits for permanent variances;
41-15-260 Interrogation; inspection; warrant for inspection; issuance; return; records of warrants issued;
41-15-270 Subpoenas; taking of testimony and the like; 
41-15-280 Citation for violation; notice in lieu of citation;
41-15-290 Correction of dangerous conditions or practices; injunctions; mandamus;
41-15-300 Notice of penalties;
41-15-310 Appeal of Division of Labor decisions to administrative law judge;
41-15-320 Penalties;
41-15-330 Action when penalty is not paid within thirty days; 
S.C. Code of Reg. Chapter 71, Sections 100 to  113 General provisions OSHA Regulations;
Chapter 71, Sections 200 to  223 Rules of Practice for Variances, Limitations, Tolerances, and Exemptions Under the Safety and Health Laws of South Carolina. 
</t>
  </si>
  <si>
    <t xml:space="preserve">Yes  </t>
  </si>
  <si>
    <t>S.C. Code Ann. §41-15-80 Employers shall furnish safe place; compliance of employers and employees to certain rules;
41-15-90 Employers shall inform employees of protections and obligations; exceptions;
41-15-100 Exposure of employees to potentially harmful materials;
S.C. Code of Reg. Chapter 71, Sections 100 to 113 General provisions of OSHA Regulations.</t>
  </si>
  <si>
    <t xml:space="preserve">S.C. Code Ann. §41-15-80 Employers shall furnish safe place; compliance of employers and employees to certain rules;
41-15-90 Employers shall inform employees of protections and obligations; exceptions;
41-15-100 Exposure of employees to potentially harmful materials; S.C. Code of Reg. Chapter 71, Sections 100 to  113.General provisions OSHA Regulations.
</t>
  </si>
  <si>
    <t>S.C. Code of Reg. Chapter 71, Sections 900 to 912 Rules of Agency Practice and Procedure Concerning LLR OSHA Division Access to Employee Medical Records; Chapter 71, Sections 1100 to 1108 Rules of Agency Practice and Procedure Concerning LLR OSHA Division Disclosure Policy and Confidentiality of Trade Secrets</t>
  </si>
  <si>
    <t>S.C. Code Ann. §41-15-80 Employers shall furnish safe place; compliance of employers and employees to certain rules;
41-15-90 Employers shall inform employees of protections and obligations; exceptions;
41-15-100 Exposure of employees to potentially harmful materials;
S.C. Code of Reg. Chapter 71, Sections 100 to 113 General provisions of OSHA Regulations</t>
  </si>
  <si>
    <t xml:space="preserve">S.C. Code Ann. §41-15-80 Employers shall furnish safe place; compliance of employers and employees to certain rules;
41-15-90 Employers shall inform employees of protections and obligations; exceptions;
41-15-100 Exposure of employees to potentially harmful materials; S.C. Code of Reg. Chapter 71, Sections 100 to 113 General provisions of OSHA Regulations
 </t>
  </si>
  <si>
    <t xml:space="preserve">S.C. Code Ann. §41-15-80 Employers shall furnish safe place; compliance of employers and employees to certain rules;
41-15-90 Employers shall inform employees of protections and obligations; exceptions;
41-15-100 Exposure of employees to potentially harmful materials;
S.C. Code of Reg. Chapter 71, Sections 100 to  113.General provisions OSHA Regulations.
</t>
  </si>
  <si>
    <r>
      <t xml:space="preserve">S.C. Code Ann. </t>
    </r>
    <r>
      <rPr>
        <sz val="10"/>
        <color rgb="FF000000"/>
        <rFont val="Calibri"/>
        <family val="2"/>
      </rPr>
      <t>§</t>
    </r>
    <r>
      <rPr>
        <sz val="10"/>
        <color rgb="FF000000"/>
        <rFont val="Calibri Light"/>
        <family val="2"/>
        <scheme val="major"/>
      </rPr>
      <t>41-15-520 Remedies of an employee charging discrimination; S.C. Code of Reg. Chapter 71, Sections 400 to 411 OSHA Enforcement Regulations; Chapter 71, Sections 500 to 512 OSHA Inspection Regulations; Chapter 71, Sections 500 to 512; Chapter 71, Subarticle 6 State OSHA Standards for General Industry and Public Sector Marine Terminals; Chapter 71, Subarticle 7 State OSHA Standards for the Construction Industry; Chapter 71, Subarticle 8, State OSHA Standards for Agricultural Operations; Chapter 71, Sections 1001 to 1021 OSHA Regulations Prohibiting  Discrimination Against Those Exercising OSHA Rights; 29 CFR 1910 Federal OSHA Standards for General Industry and Public Sector Marine Terminals; 29 CFR 1926 Federal OSHA Standards for the Construction Industry; 29 CFR 1928 Federal OSHA Standards for Agricultural Operations</t>
    </r>
  </si>
  <si>
    <t>S.C. Code of Reg. Chapter 71, Sections 400 to 411 OSHA Enforcement of Violations Regulations</t>
  </si>
  <si>
    <t>Goal 2 - Protect the public by ensuring efficient and effective licensing, permitting, inspection and enforcement operations for the State's regulated professions and occupations.</t>
  </si>
  <si>
    <t>Objective 2.1.2 -  Process renewal applications annually or biennially and issue renewal licenses or permits.</t>
  </si>
  <si>
    <t xml:space="preserve">Objective 2.2.2 - Conduct inspections to verify compliance of  funeral homes, perpetual care cemeteries, pharmacy facilities, mobile and portable dental units, dental sedation offices, veterinarian facilities, manufactured housing lots, real estate offices, barber shops and schools, and cosmetology salons and schools. </t>
  </si>
  <si>
    <t xml:space="preserve">Dental Instructor, restricted (professor), Dental Assistant, Expanded Duty for Nitrous Oxide Monitoring, Dental Auxiliary Instructor, restricted (technical colleges), Dental Hygienist, Dental Hygienist, Nitrous Oxide Monitoring  Certified, Dental Orthodontic Technician, Dental Technician, Dental Hygienist, Local Infiltration Anesthesia Administration Certified, Dentist, Deep Sedation Permitted, Dentist, General, Dentist, Moderate Sedation Permitted, Dentist, Sedation (Deep and Moderate) Provider, Dentist, Specialty (for each specialty recognized by American Dental Association), Mobile amd Portable Dental Units Initial Licenses and Renewals </t>
  </si>
  <si>
    <t>DHEC, DEA</t>
  </si>
  <si>
    <t>DHEC, Department of Natural Resources, Forestry Commission</t>
  </si>
  <si>
    <t>DHEC and Department of Natural Resources</t>
  </si>
  <si>
    <t>DHEC, DHHS</t>
  </si>
  <si>
    <t xml:space="preserve">DHEC, SC Ports Authority </t>
  </si>
  <si>
    <t xml:space="preserve">Property Manager, Property Manager-In-charge, Real Estate Broker, Real Estate Broker-In-Charge, Real Estate Instructor, Real Estate Salesperson, Time Share Salesperson Initial Licenses and Renewal Licenses; Time Share Salesperson Initial Licenses and Renewal Licenses, Time Share Plan and Out of State Subdivided Land Sales Registrations </t>
  </si>
  <si>
    <t xml:space="preserve">Property Manager, Property Manager-In-charge, Real Estate Broker, Real Estate Broker-In-Charge, Real Estate Instructor, Real Estate Salesperson, Time Share Salesperson Initial Licenses and Renewal Licenses; Time Share Salesperson Initial Licenses and Renewal Licenses; Time Share Salesperson Initial Licenses and Renewal Licenses, Time Share Plan and Out of State Subdivided Land Sales Registrations </t>
  </si>
  <si>
    <t>Unlicensed or unprofessional practice may expose the public to financial risks in business and personal  transactions and/or audits, as well as potential property damage and personal injury.</t>
  </si>
  <si>
    <t>Unlicensed or unprofessional practice may expose the public to risk of property damage.</t>
  </si>
  <si>
    <t>DHEC, Department of Education, DSS, DHHS</t>
  </si>
  <si>
    <t>SCDC</t>
  </si>
  <si>
    <t>Failure to inspect will result in risk of required equipment to not be on site and possible injury to the consuming public.</t>
  </si>
  <si>
    <t>Architects Initial Licenses and Renewals</t>
  </si>
  <si>
    <t>DHEC, Office of Regulatory Staff Energy Office</t>
  </si>
  <si>
    <t>Residential Home Builder, Residential Home Inspector, Certificate of Authorization, Residential Builder, Specialty Contractor— Residential HVAC Heating and Air Conditioning installers and repairers, Residential Stucco Installer, Residential Carpenter, Residential Drywall Installer Contractor, Residential Electrician, Residential Floor Covering Installer, Residential Insulation Installer, Residential Mason, Residential Painter/Wallpaperer, Residential Plumber, Residential Roofer, Residential Vinyl/Aluminum Siding Installer Initial Licenses, Reinstatements, and Renewals Builder, Residential Home Inspector, Residential Insulation Installer, Residential Mason, Residential Painter/Wallpaperer, Residential Plumber, Residential Roofer, Residential Vinyl/Aluminum Siding Installer Initial Licenses and Renewals</t>
  </si>
  <si>
    <t>Objective 5.1.2 - Provide legal advice and support to the agency’s investigators and inspectors in the Office of Investigations and Enforcement, including attendance at Investigative Review Committee meetings and preparation of draft orders for suspension and evaluations for POL boards and commissions.</t>
  </si>
  <si>
    <t>Number of counties with FF programs at high schools/CTCs</t>
  </si>
  <si>
    <t>RFP for bid for new records management system</t>
  </si>
  <si>
    <t>Instructor and customer survey response rate</t>
  </si>
  <si>
    <t>Jan. - Dec.</t>
  </si>
  <si>
    <t>Increase the percentage of SC fire departments that actively provide data to the National Fire Incident Reporting System (NFIRS)</t>
  </si>
  <si>
    <t xml:space="preserve">Jan. - Dec. </t>
  </si>
  <si>
    <t>Decrease the number of errors reported to NFIRS reports by active fire departments.</t>
  </si>
  <si>
    <t>% of ERTF assets in inventory system</t>
  </si>
  <si>
    <t>Number of county Fire Safe SC meetings</t>
  </si>
  <si>
    <t>Number of IFSAC/Pro Board accredited programs</t>
  </si>
  <si>
    <t>Student completion rates</t>
  </si>
  <si>
    <t>Number of executive leadership/planning programs</t>
  </si>
  <si>
    <t>Number of EMT Instructors</t>
  </si>
  <si>
    <t>Number of EMT Students</t>
  </si>
  <si>
    <t>Number of SCFA course developed/updated</t>
  </si>
  <si>
    <t>Average age of cases from open to Investigative Review Committee</t>
  </si>
  <si>
    <t>Percentage of open cases closed in one year</t>
  </si>
  <si>
    <t>Source #5</t>
  </si>
  <si>
    <t>Source #6</t>
  </si>
  <si>
    <t>Source #7</t>
  </si>
  <si>
    <t>Source #8</t>
  </si>
  <si>
    <t>Source #9</t>
  </si>
  <si>
    <t>Source #10</t>
  </si>
  <si>
    <t>Source #11</t>
  </si>
  <si>
    <t>Source #12</t>
  </si>
  <si>
    <t>Source #13</t>
  </si>
  <si>
    <t>Source #14</t>
  </si>
  <si>
    <t>Source #15</t>
  </si>
  <si>
    <t>Source #16</t>
  </si>
  <si>
    <t>Source #17</t>
  </si>
  <si>
    <t>Source #18</t>
  </si>
  <si>
    <t>Source #19</t>
  </si>
  <si>
    <t>Source #20</t>
  </si>
  <si>
    <t>Source #21</t>
  </si>
  <si>
    <t>Source #22</t>
  </si>
  <si>
    <t>Source #23</t>
  </si>
  <si>
    <t>Source #24</t>
  </si>
  <si>
    <t>Source #25</t>
  </si>
  <si>
    <t>Source #26</t>
  </si>
  <si>
    <t>Source #27</t>
  </si>
  <si>
    <t>Source #28</t>
  </si>
  <si>
    <t>Source #29</t>
  </si>
  <si>
    <t>Source #30</t>
  </si>
  <si>
    <t>General Appropriation Programs</t>
  </si>
  <si>
    <t>Indirect Cost Recovery</t>
  </si>
  <si>
    <t>Immigration Fees</t>
  </si>
  <si>
    <t>Elevators/Amusement Ride Fees</t>
  </si>
  <si>
    <t>State Fire Marshal Fees</t>
  </si>
  <si>
    <t>Fire Academy Fees</t>
  </si>
  <si>
    <t>Donations-Fire Academy</t>
  </si>
  <si>
    <t>Professional and Occupational Licensee Fees</t>
  </si>
  <si>
    <t>State Fire Marshal - Pyro and LP Gas Fees</t>
  </si>
  <si>
    <t>Sale of Surplus Materials &amp; Supplies</t>
  </si>
  <si>
    <t>Insurance Claims</t>
  </si>
  <si>
    <t>Appraisal Registry</t>
  </si>
  <si>
    <t>Act 285 of 2016</t>
  </si>
  <si>
    <t>Vacation Time Share Recovery</t>
  </si>
  <si>
    <t>Capital Projects</t>
  </si>
  <si>
    <t>Auctioneer Recovery Funds</t>
  </si>
  <si>
    <t>State Fire Training FEMA Grant</t>
  </si>
  <si>
    <t>OSHA 21D Grant</t>
  </si>
  <si>
    <t>OSHA 23G Grant</t>
  </si>
  <si>
    <t>OSHA BLS Grant</t>
  </si>
  <si>
    <t>Public Assistance Flood 2015 R3601PAFL016</t>
  </si>
  <si>
    <t>Fire Academy</t>
  </si>
  <si>
    <t>Agency</t>
  </si>
  <si>
    <t>General Fund</t>
  </si>
  <si>
    <t>Indirect Cost Rec</t>
  </si>
  <si>
    <t>General Revenue</t>
  </si>
  <si>
    <t>Operating Revenue</t>
  </si>
  <si>
    <t>Donations</t>
  </si>
  <si>
    <t>POLA Revenue</t>
  </si>
  <si>
    <t>Educ &amp; Research Fd</t>
  </si>
  <si>
    <t>Real Estate App Reg</t>
  </si>
  <si>
    <t>Cap Res Fd per</t>
  </si>
  <si>
    <t>Vac Time Shar Rec</t>
  </si>
  <si>
    <t>Cap Proj-Other Fd</t>
  </si>
  <si>
    <t>Auctioneer Recovery</t>
  </si>
  <si>
    <t>Consult Priv Sec</t>
  </si>
  <si>
    <t>OSHA-Federal</t>
  </si>
  <si>
    <t>BLS Statistics</t>
  </si>
  <si>
    <t>2015 Severe Flood</t>
  </si>
  <si>
    <t>1002.050000.000 1003.100000.000 9500.050000.000</t>
  </si>
  <si>
    <t>9811.040000X000 9815.050000X000  9818.060000X000 9815.130000X000</t>
  </si>
  <si>
    <t>1002.050000.000 1003.100000.000</t>
  </si>
  <si>
    <t>1000.350000.000 1003.100000.000 1000.200000.000 1000.400000.000</t>
  </si>
  <si>
    <t>1000.200000.000 1001.150000.000 1000.400000.000  9500.050000.000</t>
  </si>
  <si>
    <t xml:space="preserve">1001.150000.000 </t>
  </si>
  <si>
    <t>0100.000000.000</t>
  </si>
  <si>
    <t>1000.350000.000 9500.050000.000</t>
  </si>
  <si>
    <t>1000.200000.000</t>
  </si>
  <si>
    <t>1001.150000.000 9500.050000.000</t>
  </si>
  <si>
    <t>1000.400000.000 9500.050000.000</t>
  </si>
  <si>
    <t>1001.150000.000</t>
  </si>
  <si>
    <t>1000.200000.000 9500.050000.000</t>
  </si>
  <si>
    <t>1000.300100.000 9500.050000.000</t>
  </si>
  <si>
    <t>1000.200000.000  9500.050000.000</t>
  </si>
  <si>
    <t>0100.000000.000 1000.300100.000</t>
  </si>
  <si>
    <t>1000.300100.000</t>
  </si>
  <si>
    <t>9812.140000X000</t>
  </si>
  <si>
    <t>9901.950700.000 9902.950800.000 9902.950900.000 9906.951000.000</t>
  </si>
  <si>
    <t>1002.050000.000 9500.050000.000</t>
  </si>
  <si>
    <t>1002.050000.000  1003.100000.000 9500.050000.000</t>
  </si>
  <si>
    <t>1003.100000.000 9500.050000.000</t>
  </si>
  <si>
    <t>II.A. OSHA Voluntary II.B. Occupational Safety &amp; Health, III. Employee Benefits</t>
  </si>
  <si>
    <t>II.D. State Fire Marshal</t>
  </si>
  <si>
    <t>II. A. OSHA Voluntary, II.B. Occupational Safety &amp; Health</t>
  </si>
  <si>
    <t>II. G. Labor Services, II.B. Occupational Safety &amp; Health , II.D. State Fire Marshal, II.H. Building Codes</t>
  </si>
  <si>
    <t>II.D. State Fire Marshal, II.C. Fire Academy, II. H. Building Codes, III.Employee Benefits</t>
  </si>
  <si>
    <t>II. C. Fire Academy</t>
  </si>
  <si>
    <t>I. Administration</t>
  </si>
  <si>
    <t>II.E. Elevators/Amusement, III. Employee Benefits</t>
  </si>
  <si>
    <t>II.C. Fire Academy, III. Employee Benefits</t>
  </si>
  <si>
    <t>II.H.Building Codes, III. Employee Benefits</t>
  </si>
  <si>
    <t>II.C. Fire Academy</t>
  </si>
  <si>
    <t>II. D. State Fire Marshal, III.Employee Benefits</t>
  </si>
  <si>
    <t>II.F. Prof &amp; Occup, III. Employee Benefits</t>
  </si>
  <si>
    <t>II.D. State Fire Marshal, III. Employee Benefits</t>
  </si>
  <si>
    <t>II.C. Fire Academy, III.Employee Benefits</t>
  </si>
  <si>
    <t>I. Administration, II.F. Pol &amp; Occup</t>
  </si>
  <si>
    <t>II. D. State Fire Marshal</t>
  </si>
  <si>
    <t>II. F. Prof &amp; Occup</t>
  </si>
  <si>
    <t xml:space="preserve">II. C. Fire Academy, III.Employee Benefits </t>
  </si>
  <si>
    <t>II.A. OSHA Voluntary, III. Employee Benefits</t>
  </si>
  <si>
    <t>II.A. OSHA Voluntary  and II.B. Occupational Safety &amp; Health III. Employee Benefits</t>
  </si>
  <si>
    <t>II.B. Occupational Safety &amp; Health, III. Employee Benefits</t>
  </si>
  <si>
    <t>2016-17 Appropriations &amp; Authorizations to agency (start of year)</t>
  </si>
  <si>
    <t>2016-17 Appropriations &amp; Authorizations to agency (during the year)</t>
  </si>
  <si>
    <t>`</t>
  </si>
  <si>
    <t>SCEIS</t>
  </si>
  <si>
    <t>Remit to General Fund</t>
  </si>
  <si>
    <t>Education &amp; Research</t>
  </si>
  <si>
    <t>V-Safe Program</t>
  </si>
  <si>
    <t xml:space="preserve">Auctioneer Recovery </t>
  </si>
  <si>
    <t>Grant</t>
  </si>
  <si>
    <t>Proviso 118.16(B)(41)</t>
  </si>
  <si>
    <t>2017-18 Appropriations &amp; Authorizations to agency (start of year)</t>
  </si>
  <si>
    <t>2017-18 Appropriations &amp; Authorizations to agency (during the year) (BUDGETED)</t>
  </si>
  <si>
    <t xml:space="preserve">Protect the public by ensuring that licensees that commit misconduct are timely disciplined, and that those who are operating without a license are not in practice. </t>
  </si>
  <si>
    <t>Percentage of open to closed cases in one year.</t>
  </si>
  <si>
    <t>Average age of cases from open to IRC.</t>
  </si>
  <si>
    <t>State Government, Federal Government, and Local Government</t>
  </si>
  <si>
    <t>Input/activity measure</t>
  </si>
  <si>
    <t>Number of applications available online- individual</t>
  </si>
  <si>
    <t>Agency selected</t>
  </si>
  <si>
    <t>Outcome measure</t>
  </si>
  <si>
    <t>5 (10 pending)</t>
  </si>
  <si>
    <t>Output measure</t>
  </si>
  <si>
    <t>Number of initial applications received (online and paper)</t>
  </si>
  <si>
    <t>Number of initial licenses/ permits issued</t>
  </si>
  <si>
    <t>Number of applications available online- business</t>
  </si>
  <si>
    <t>Number of renewals issued</t>
  </si>
  <si>
    <t>Number of board meetings held</t>
  </si>
  <si>
    <t>Average license turnaround time (business days)</t>
  </si>
  <si>
    <t>Efficiency measure</t>
  </si>
  <si>
    <t>Monthly</t>
  </si>
  <si>
    <t>7-10</t>
  </si>
  <si>
    <t>Number of Customer Satisfaction Surveys received</t>
  </si>
  <si>
    <t>Number of complaints received</t>
  </si>
  <si>
    <t>Numbers of investigations opened</t>
  </si>
  <si>
    <t>Average time to complete investigation (business days)</t>
  </si>
  <si>
    <t>Number of cases closed</t>
  </si>
  <si>
    <t>Number of initial/opening inspections completed</t>
  </si>
  <si>
    <t>Number of routine inspections conducted</t>
  </si>
  <si>
    <t>Number of citations issued</t>
  </si>
  <si>
    <t>Number of Cease and Desist orders issued</t>
  </si>
  <si>
    <t>Number of complaint based inspections completed</t>
  </si>
  <si>
    <t>Number of dental practices pending inspection/permitting</t>
  </si>
  <si>
    <t>Number of online verification requests filled</t>
  </si>
  <si>
    <t>Number of emergency orders served</t>
  </si>
  <si>
    <t>Strategy: 5.1 - Provide effective and quality prosecutorial legal support and advice to the agency.</t>
  </si>
  <si>
    <r>
      <t xml:space="preserve">Partner(s), by segment, the agency works with to achieve the objective </t>
    </r>
    <r>
      <rPr>
        <sz val="10"/>
        <rFont val="Calibri Light"/>
        <family val="2"/>
        <scheme val="major"/>
      </rPr>
      <t>(Federal Government; State Government; Local Government; Higher Education Institution; K-12 Education Institution; Private Business; Non-Profit Entity; Individual; or Other)</t>
    </r>
  </si>
  <si>
    <t>100% - Sent (1st qrt)</t>
  </si>
  <si>
    <t>100% - Sent (2nd qrt)</t>
  </si>
  <si>
    <t>100% - Sent (3rd qrt)</t>
  </si>
  <si>
    <t>Currently Using</t>
  </si>
  <si>
    <t>21 = 100% sent               61% Responded</t>
  </si>
  <si>
    <t>30 = 100% sent            56% Responded</t>
  </si>
  <si>
    <t xml:space="preserve">July - June </t>
  </si>
  <si>
    <t>Create a departmental on-boarding checklist that has department specific training and policies to ensure employees are properly informed of their area's policies, procedures, and employment expectations.</t>
  </si>
  <si>
    <t>Explore and implement mandatory training for employees transitioning to supervisor role at time of hire.</t>
  </si>
  <si>
    <t>Revamp and modify components to LLR's internal application software (RELEAS) to ensure a more "user friendly" environment for the end user and a more transparent financial outcome for Board financial reports.</t>
  </si>
  <si>
    <t>Revamp and modify components to LLR's internal application software (State Fire Finance) to ensure a more "user friendly" environment for the end user and a more transparent financial outcome for State Fire Stakeholder Finance reports.</t>
  </si>
  <si>
    <t>To ensure employees hired by South Carolina employers are legally in the United States and authorized to work.</t>
  </si>
  <si>
    <t>To ensure employers verify the employment authorization of new hires through E-Verify and only employ workers authorized by E-Verify.</t>
  </si>
  <si>
    <t>To ensure individuals providing immigration assistance services in South Carolina are licensed by LLR and comply with the state law's provisions.</t>
  </si>
  <si>
    <t>To ensure that aliens applying for the state benefit of professional and occupational licensure are legally in the United States and authorized to work.</t>
  </si>
  <si>
    <t>To ensure the safety of the public riding elevators in South Carolina.</t>
  </si>
  <si>
    <t>To ensure the safety of the public riding amusement rides in South Carolina.</t>
  </si>
  <si>
    <t>To ensure the competency of Special Inspectors conducting elevator and amusement ride inspections.</t>
  </si>
  <si>
    <t>Businesses within regulated industries have a positive economic impact on their communities.
The public is provided with a safe environment to work, live and play.</t>
  </si>
  <si>
    <t>The public is provided with education and resources that reduce fire ignitions, and ultimately, fire-related fatalities.</t>
  </si>
  <si>
    <t>The number of fire ignitions are reduced within occupancies inspected by OSFM and the public is provided with a safe environment to work, live and play.</t>
  </si>
  <si>
    <t>Regulated systems are designed and installed correctly, providing the public with a safe environment to work, live and play.</t>
  </si>
  <si>
    <t>Fire departments are able to receive aid from other fire departments across the state, once their resources have been depleted, resulting in a force multiplier for fire and rescue resource needs.</t>
  </si>
  <si>
    <t>Firefighting and/or search and rescue resources are directed to the area of greatest public need in times of a statewide or regional disaster.</t>
  </si>
  <si>
    <t>Firefighters and rescue personnel are provided with training and certifications that prepare them for the types of responses encountered within their communities.</t>
  </si>
  <si>
    <t>Local emergency response agencies are supplemented by a well-trained and well-equipped response force, providing specialized capabilities not typically available at the local level.</t>
  </si>
  <si>
    <r>
      <rPr>
        <i/>
        <sz val="10"/>
        <color theme="1"/>
        <rFont val="Calibri Light"/>
        <family val="2"/>
        <scheme val="major"/>
      </rPr>
      <t>Strategy 3.5</t>
    </r>
    <r>
      <rPr>
        <sz val="10"/>
        <color theme="1"/>
        <rFont val="Calibri Light"/>
        <family val="2"/>
        <scheme val="major"/>
      </rPr>
      <t>:  Ensure South Carolina employers’ lawful compliance with state immigration law.</t>
    </r>
  </si>
  <si>
    <t>Objective 5.4.4 - Ensure the physical and information security of agency employees and data.</t>
  </si>
  <si>
    <t>Objective 5.4.3 - Expand the capacity and increase the reliability of the agency’s IT infrastructure.</t>
  </si>
  <si>
    <t xml:space="preserve">Objective 1.1.1 - Review and process permit and license applications for regulated industries.  </t>
  </si>
  <si>
    <t xml:space="preserve">Objective 2.3.3 - Proffer testimony at Board or Commission hearings and assist with administering Board or Commission actions such as serving emergency orders, cease and desist orders, and final orders. </t>
  </si>
  <si>
    <t>Objective 3.1.1 - Provide compliance assistance, technical support, in-house training and guidance, and community outreach.</t>
  </si>
  <si>
    <t>Objective 3.1.2 - Provide training and development for new and current OSHA staff.</t>
  </si>
  <si>
    <t>Objective 3.1.3 - Provide accurate statistical safety and health injury and illness data for all South Carolina industries.</t>
  </si>
  <si>
    <t>Objective 3.2.1 - Conduct inspections to verify safety standard compliance of worksites throughout the State.</t>
  </si>
  <si>
    <t>Objective 3.4.2 - Conduct investigations of alleged retaliation against employees for health and/or safety complaints.</t>
  </si>
  <si>
    <t>Objective 3.4.4 - Objective: Provide responses to requests for information from employers and other members of the public related to SC OSHA.</t>
  </si>
  <si>
    <t>Objective 3.6.2 - Investigate complaints alleging Payment of Wages and Child Labor law violations, including conducting witness interviews and analyzing evidence.</t>
  </si>
  <si>
    <t>Strategy 4.1:  Provide oversight of the State's Elevator and Amusement Ride Safety programs.</t>
  </si>
  <si>
    <t>Strategy 3.6:  Ensure lawful treatment of employees under state law by investigating complaints alleging violations of the Payment of Wages Act and Child Labor Laws.</t>
  </si>
  <si>
    <t>Objective 2.1.5 - Oversee and monitor continuing education requirements for licensees to ensure compliance with professional standards for applicable boards.</t>
  </si>
  <si>
    <t xml:space="preserve">Strategy 2.2:  Ensure the public’s health and safety by inspecting facilities for compliance with standards required by law.    </t>
  </si>
  <si>
    <t xml:space="preserve">Objective 2.2.3 - Enforce compliance with professional standards by conducting inspections in response to complaints including issuing citations, cease and desist orders for unlicensed practice or for professional acts outside the scope of the profession.  </t>
  </si>
  <si>
    <t xml:space="preserve">Strategy 2.3:  Ensure the public’s health and safety by investigating complaints of allegations of misconduct against licensees whose acts may not have met the standards established by the professional or occupational board or commission and allegations of unlicensed practice in the State.   </t>
  </si>
  <si>
    <t xml:space="preserve">Strategy 3.2:  Implement and enforce OSHA standards throughout the State to ensure that South Carolina workers are safe at work.  </t>
  </si>
  <si>
    <t>Objective 3.4.3 - Conduct informal conferences for employers seeking further understanding and resolution of a pending citation from SC OSHA.</t>
  </si>
  <si>
    <t xml:space="preserve">Objective 3.6.1 - Review and process complaints, insuring they meet jurisdictional requirements and sufficiency to initiate investigation of alleged violations.  </t>
  </si>
  <si>
    <t>Objective 4.1.2 - Register and issue permits to authorize operation of amusement devices in South Carolina after ensuring proper initial inspection and operation.</t>
  </si>
  <si>
    <t>Objective 4.1.3 - License, oversee, and audit Special Inspectors who conduct annual inspections of public elevators and amusement devices in the State.</t>
  </si>
  <si>
    <t>Objective 4.1.4 - Conduct inspections of new installation or new alteration of public elevators and audit Special Inspectors’ annual inspections.</t>
  </si>
  <si>
    <t>Strategy 5.1:  Provide effective and quality prosecutorial legal support and advice to the agency.</t>
  </si>
  <si>
    <t>Objective 5.1.1 - Prosecute cases of misconduct against licensees, including obtaining expert reviews, conducting witness and expert interviews in preparation for hearings, pursuing actions to enforce unlicensed individuals at the administrative law court, and managing cases through the appellate process.</t>
  </si>
  <si>
    <t>Objective 5.2.1 - Serve as counsel to the POL boards and commissions, providing legal advice and support on licensure and disciplinary decisions and during administrative hearings, drafting final orders, handling appeals arising from licensure decisions and offering legal advice regarding temporary orders of suspension and cease and desist orders.</t>
  </si>
  <si>
    <t>Strategy 5.3:  Ensure excellent advisory, legislative and public service support and collaboration for all of the agency’s divisions, programs and professional and occupational boards.</t>
  </si>
  <si>
    <t>Objective 5.3.1 - Analyze, process and respond to all requests for information to the agency, including media inquiries, FOIA requests, subpoenas, and concerns addressed to the agency’s ombudsman.</t>
  </si>
  <si>
    <t>Objective 5.3.2 - Draft, review and advise in the promulgation of all agency regulations.</t>
  </si>
  <si>
    <t>Strategy 5.4: Streamline the information technology infrastructure and continue to allow for automation of the many agency functions.</t>
  </si>
  <si>
    <t>Objective 5.4.2 - Improve customer and partner experience through enhanced online services.</t>
  </si>
  <si>
    <t xml:space="preserve">Strategy 5.5:  Provide excellent customer service to the citizens of South Carolina and support all divisions of the agency to succeed in meeting the mission of the agency by ensuring operational excellence through recruitment, development and retention of high quality employees and promotion of fiscal responsibility.  </t>
  </si>
  <si>
    <t>Objective 5.5.1 - Promote operational excellence in finance, human resources and the procurement of goods and serves by instituting policies and procedures and utilizing practices that ensure timely execution and fiscal responsibility of agency projects.</t>
  </si>
  <si>
    <t>Objective 5.5.2 - Provide effective recruitment and onboarding processes to recruit, retrain, and develop high quality employees.</t>
  </si>
  <si>
    <t>Objective 5.5.3 - Encourage an agency culture that prioritizes and rewards innovation and learning by providing job specific and employee development training opportunities to maximize employees’ contributions to the agency.</t>
  </si>
  <si>
    <t>Objective 1.1.2 - Provide effective and comprehensive Community Risk Reduction programs throughout the State.</t>
  </si>
  <si>
    <t>Objective 2.1.2 - Process renewal applications annually or biennially and issue renewal licenses or permits.</t>
  </si>
  <si>
    <t>Objective 2.3.1 - Review and process complaints, insuring they meet jurisdictional requirements and sufficiency to initiate investigation of alleged violations.</t>
  </si>
  <si>
    <t>Goal 3 - Improve and protect the safety and health of South Carolina workers while ensuring employers' compliance with state law.</t>
  </si>
  <si>
    <t xml:space="preserve">Objective 3.2.2 - Conduct investigations of reported injuries, fatalities, and alleged noncompliance with health and safety standards in the work place.  </t>
  </si>
  <si>
    <t>Objective 3.3.2 - Provide consultation services to requesting employers.</t>
  </si>
  <si>
    <t>Objective 3.5.3 - Register and inspect Immigration Assistance Service providers.</t>
  </si>
  <si>
    <t>Goal 4 - Protect the riding public and industry personnel in the enjoyment and use of public amusement ride devices and elevators in South Carolina</t>
  </si>
  <si>
    <t>Strategy 4.1: Provide oversight of the State's Elevator and Amusement Ride Safety programs.</t>
  </si>
  <si>
    <t>Strategy 5.2: Provide exemplary in-house legal services to the agency’s divisions and professional and occupational boards.</t>
  </si>
  <si>
    <t>Strategy 5.3: Ensure excellent advisory, legislative and public service support and collaboration for all of the agency’s divisions, programs and professional and occupational boards.</t>
  </si>
  <si>
    <t xml:space="preserve">Objective 3.6.1- Review and process claims, insuring they meet jurisdictional requirements and sufficiency to initiate investigation of alleged violations.  </t>
  </si>
  <si>
    <t>Objective 3.6.2 -Investigate claims alleging Payment of Wages and Child Labor law violations, including conducting witness interviews and analyzing evidence.</t>
  </si>
  <si>
    <t>Number of wage and labor claims received</t>
  </si>
  <si>
    <t>Input/Activity measure</t>
  </si>
  <si>
    <t>Number of wage and labor investigations opened</t>
  </si>
  <si>
    <t>Number of wage and labor citations issued</t>
  </si>
  <si>
    <t>Amount of penalties assessed for wage violations</t>
  </si>
  <si>
    <t>Increase communication across program areas for data sharing and security controls upon Agency data.</t>
  </si>
  <si>
    <t>Increase public access to Agency services through a safe and secure medium.</t>
  </si>
  <si>
    <t>Provide reliable access to Agency services.</t>
  </si>
  <si>
    <t>Division of OSHA</t>
  </si>
  <si>
    <t>Division of Fire &amp; Life Safety - Office of State Fire Marshal</t>
  </si>
  <si>
    <t>Division of Professional and Occupational Licensing</t>
  </si>
  <si>
    <t>Division of Fire and Life Safety; Division of Professional and Occupational Licensing (Building Codes)</t>
  </si>
  <si>
    <t>Fire Insurance Premium Tax</t>
  </si>
  <si>
    <t>Act 60 - Fire Insurance Premium Tax</t>
  </si>
  <si>
    <t xml:space="preserve">Division of Fire and Life Safety - Fire Academy   </t>
  </si>
  <si>
    <t>Office of Immigration Compliance</t>
  </si>
  <si>
    <t>Office of Elevators and Amusement Rides</t>
  </si>
  <si>
    <t>Division of Fire and Life Safety - Office of State Fire Marshal</t>
  </si>
  <si>
    <t xml:space="preserve">Division of Fire and Life Safety - Fire Academy </t>
  </si>
  <si>
    <t>Building Code, Manuf'd Housing and Boiler Safety Program  Fees</t>
  </si>
  <si>
    <t>Federal Grants-Unrestricted R3601PAFL016 (matching funds for 2015 Flood Grant)</t>
  </si>
  <si>
    <t>Division of Fire and Life Safety</t>
  </si>
  <si>
    <t>Division of Administration</t>
  </si>
  <si>
    <t xml:space="preserve">Refunds from Prior Year Expenditures </t>
  </si>
  <si>
    <t>Division of Professional and Occupational Licensing; Legal Services</t>
  </si>
  <si>
    <t>Research and Education Funds</t>
  </si>
  <si>
    <t>Real Estate Appraisal Registry</t>
  </si>
  <si>
    <t>V-Safe Grant Funds</t>
  </si>
  <si>
    <t>Real Estate Vacation Time Share Recovery Fund</t>
  </si>
  <si>
    <t>Division of Fire and Life Safety - Fire Academy</t>
  </si>
  <si>
    <t>Objective 5.5.2 - Provide effective recruitment and onboarding processes to recruit, retain, and develop high quality employees.</t>
  </si>
  <si>
    <t>Objective 5.5.1 - Promote operational excellence in finance, human resources and the procurement of goods and services by instituting policies and procedures and utilizing practices that ensure timely execution and fiscal responsibility of agency projects.</t>
  </si>
  <si>
    <t>Achieve and maintain operational excellence through an approach of continuous improvement by ensuring compliance with state oversight entities, yet ensuring timely continuity of Agency services for the citizens of SC.</t>
  </si>
  <si>
    <t>Ensure operational effectiveness and efficiencies through a highly skilled and engaged workforce.</t>
  </si>
  <si>
    <t>Timely, transparent and thorough responses to inquiries will instill in the public confidence in the work product of the Agency.</t>
  </si>
  <si>
    <t>Input during the deliberative and drafting process will result in regulations narrowly tailored to meet the needs of the boards and commissions and will ensure proper statutory authority exists to support new regulations or changes to existing regulations.</t>
  </si>
  <si>
    <t>Timely updates to the boards and the Agency on pending legislation will ensure maximum opportunities for board, Agency and public input  and will, when coupled with data-driven and fact-specific testimony from the Agency during legislative hearings, yield laws that protect the health and safety of the public.</t>
  </si>
  <si>
    <t xml:space="preserve">Respond timely to all FOIA requests and subpoenas.
Reply to inquiries within 24 hours, excluding holidays and weekends. </t>
  </si>
  <si>
    <t>Administration</t>
  </si>
  <si>
    <t>Attend board meetings when proposed regulations are discussed.
Draft proposed regulations.
Publish drafting notices and proposed regulations.
Oversee the scheduling and handling of administrative hearings.</t>
  </si>
  <si>
    <t xml:space="preserve">Attend legislative hearings.
Report on the status of legislation and regulations to boards.
Weekly legislative updates to boards.
Weekly notifications to boards of legislative hearings.
Annual summary of legislative and regulatory changes.
</t>
  </si>
  <si>
    <t>Revamp and modify components to LLR's internal application software (RELEAS) to ensure a more "user friendly" environment for the end user and a more transparent financial outcome for Board financial reports.
Revamp and modify components to LLR's internal application software (State Fire Finance) to ensure a more "user friendly" environment for the end user and a more transparent financial outcome for State Fire Stakeholder Finance reports.</t>
  </si>
  <si>
    <t>State Government</t>
  </si>
  <si>
    <t>Number of applications available online 
Bulk license verification program launch</t>
  </si>
  <si>
    <t>State Government; Private Business</t>
  </si>
  <si>
    <t>Replace Server and Storage Infrastructure</t>
  </si>
  <si>
    <t>Number of badge controlled doors
Number of video cameras</t>
  </si>
  <si>
    <t>Christa Bell (responsible more than 3 years)</t>
  </si>
  <si>
    <t>State Government, Local Government</t>
  </si>
  <si>
    <t>Number of wage and labor citations issued
Amount of penalties assessed for wage violations</t>
  </si>
  <si>
    <t>Number of audits conducted during fiscal year.
Percentage of employers in compliance.
Small business E-Verify compliance rate.</t>
  </si>
  <si>
    <t>State Government, Federal Government</t>
  </si>
  <si>
    <t>Number of registered immigration assistance providers during calendar year.</t>
  </si>
  <si>
    <t>Number of aliens verified through SAVE during calendar year.</t>
  </si>
  <si>
    <t>Number of elevators registered in the state.
Number of elevators inspected during the fiscal year.
Number of elevators with outstanding abatements.</t>
  </si>
  <si>
    <t>Number of amusement rides inspected and permitted during fiscal year.</t>
  </si>
  <si>
    <t>Number of elevators and amusement rides audited during fiscal year.</t>
  </si>
  <si>
    <t>Number of permits issued during fiscal year for installation/alteration of elevators.</t>
  </si>
  <si>
    <t>Number of applications available online
Number of initial applications received
Number of initial licenses/permits issued
Number of FBI background checks conducted</t>
  </si>
  <si>
    <t>Robbie Boland (responsible less than 3 years)</t>
  </si>
  <si>
    <t>Federal Government, State Government, Local Government, Higher Education, K-12 Education, Institution, Private Business, Individual, Other</t>
  </si>
  <si>
    <t xml:space="preserve">Number of renewal applications received
Number of renewals issued
</t>
  </si>
  <si>
    <t>Federal Government, State Government, Higher Education, Institution, Private Business, Individual</t>
  </si>
  <si>
    <t xml:space="preserve">Number of board meetings held
</t>
  </si>
  <si>
    <t xml:space="preserve">Average license turnaround time
Number of customer satisfaction surveys received
Number of online verification requests filled
</t>
  </si>
  <si>
    <t>Dean Grigg (responsible more than 3 years)</t>
  </si>
  <si>
    <t>Higher Education, K-12 Education, Institution, Private Business, Non-Profit Entity, Individual, Other</t>
  </si>
  <si>
    <t>Higher Education, Private Business</t>
  </si>
  <si>
    <t xml:space="preserve">Number of dental practices inspected/ permitted
Number of dental practices pending inspection/permitting
Number of initial/opening inspections completed
</t>
  </si>
  <si>
    <t>Federal Government, State Government, Local Government, Private Business, Individuals</t>
  </si>
  <si>
    <t xml:space="preserve">Number of citations issued
Number of cease and desist orders issued
Number of complaint based inspections completed
</t>
  </si>
  <si>
    <t>Federal Government, State Government, Local Government, Higher Education, K-12 Education, Institutions, Private Business, Individuals, Other</t>
  </si>
  <si>
    <t xml:space="preserve">Number of investigations opened
Average time to complete investigation
Number of cases closed
</t>
  </si>
  <si>
    <t>Number of board meetings
Number of investigations opened
Number of cases closed</t>
  </si>
  <si>
    <t>State Government, Local Government, Individuals</t>
  </si>
  <si>
    <t xml:space="preserve">Create a departmental on-boarding checklist that has department specific training and policies to ensure employees are properly informed of their area's policies, procedures, and employment expectations.
Solicit feedback (via survey) from new employees regarding recruitment and onboarding processes.
Increase eligible positions by 5% for the agency's most difficult positions to fill:  Board Administrators, Attorneys, and Investigators.
Create an Interview technique class.
</t>
  </si>
  <si>
    <t>Federal Government, State Government, Local Government Higher Education, K-12 Education, Institution, Private Business, Non-Profit Entity, Individual, Other</t>
  </si>
  <si>
    <t>RFP for new records management system
% of licenses and permit applications submitted electronically</t>
  </si>
  <si>
    <t>FLS - Office of State Fire Marshal</t>
  </si>
  <si>
    <t>Private Business</t>
  </si>
  <si>
    <t>Number of fire-related fatalities
Increase the percentage of SC fire departments that actively provide data to the National Fire Incident Reporting System
Decrease the number of errors reported to NFIRS reports by active fire departments
Number of county Fire Safe SC meetings</t>
  </si>
  <si>
    <t>Federal Government; State Government; Local Government; Non-Profit Entities; Private Businesses Individuals</t>
  </si>
  <si>
    <t xml:space="preserve">Training video for DDSN and DSS
Training video for schools fire and life safety inspections
RFP for new records management system
Reduce turnaround time to conduct inspections
</t>
  </si>
  <si>
    <t xml:space="preserve">State Government; Local Government; K-12 Institutions; Private Business </t>
  </si>
  <si>
    <t>RFP for new records management system
Number of days for engineer review of fire sprinkler plans</t>
  </si>
  <si>
    <t>State Government; Local Government; K-12 Institutions; Private Business; Non-Profit Entities</t>
  </si>
  <si>
    <t>State Government; Local Government; Non-Profit Entities</t>
  </si>
  <si>
    <t>% of ERTF assets in inventory system
Increase ERTF membership</t>
  </si>
  <si>
    <t>Federal Government; State Government; Local Government</t>
  </si>
  <si>
    <t>Number of IFSAC/Pro Board accredited programs
Number of SCFA courses developed/updated</t>
  </si>
  <si>
    <t>State Government; Local Government; Private Business; Non-Profit Entities</t>
  </si>
  <si>
    <t>Number of EMT Instructors
Number of EMT Students</t>
  </si>
  <si>
    <t>Ensure employee engagement and development to carry out the Agency's mission.</t>
  </si>
  <si>
    <t>Federal Government</t>
  </si>
  <si>
    <t>Number of Employees Recruited
Number of Employees Retained (within 2 years)
Percentage of Employees receiving 40 or more hours of annual training</t>
  </si>
  <si>
    <t>Percentage of Required Employers contacted for annual survey/audit
Decrease in Injury and Illness Rates</t>
  </si>
  <si>
    <t>Federal Government; Private Business</t>
  </si>
  <si>
    <t>Federal Government, Private Business</t>
  </si>
  <si>
    <t>Number of students trained (Youth Safety Program)
Number of classes conducted (Youth Safety Program)
Number of counties
Number of active VPP sites (Youth Safety Program)</t>
  </si>
  <si>
    <t>Number of contested cases filed
Number of contested cases resolved</t>
  </si>
  <si>
    <t xml:space="preserve">Number of 11c whistleblower complaints filed
Number of 11c whistleblower complaints resolved
</t>
  </si>
  <si>
    <t>Number of informal conferences
Number of contested cases filed after an informal conference
Number of settlements</t>
  </si>
  <si>
    <t>Number of FOIA requests
Number of FOIA responses
Response time from request to response (FOIA)</t>
  </si>
  <si>
    <t>Number of VPP sites
Number of Sharp sites (new)</t>
  </si>
  <si>
    <t>Local Government, K-12 Education Institution, Higher Education Institution, Private Business; Individual</t>
  </si>
  <si>
    <t>Final Orders prepared by OAC</t>
  </si>
  <si>
    <t>Required by State</t>
  </si>
  <si>
    <t>Average number of days between proceedings and execution of Final Orders prepared by OAC</t>
  </si>
  <si>
    <t xml:space="preserve">Panel Hearings or Hearing Officer Recommendations prepared by OAC </t>
  </si>
  <si>
    <t>Average Number of days between Panel Hearing and Execution of Recommendation</t>
  </si>
  <si>
    <t>Consent Agreements/C&amp;Ds prepared by OAC</t>
  </si>
  <si>
    <t>July-June</t>
  </si>
  <si>
    <t>Average Number of Days Between Request and Execution of Document</t>
  </si>
  <si>
    <t>Increase the number of training sessions offered to POL boards and commissions per FY</t>
  </si>
  <si>
    <t xml:space="preserve">Final Orders prepared by OAC
Average number of days between proceedings and execution of Final Orders prepared by OAC
Panel Hearings or Hearing Officer Recommendations prepared by OAC
Average Number of Days Between Request and Execution of Document
Consent Agreements/C&amp;Ds prepared by OAC
</t>
  </si>
  <si>
    <t xml:space="preserve">Legal Services </t>
  </si>
  <si>
    <t>Nathan Ellis (responsible less than 3 years)</t>
  </si>
  <si>
    <t>Ken Kerber (responsible less than 3 years)</t>
  </si>
  <si>
    <t>Dennis Ray (responsible less than 3 years)</t>
  </si>
  <si>
    <t>Darra James Coleman (responsible more than 3 years)</t>
  </si>
  <si>
    <t>Matt Faile (responsible more than 3 years)</t>
  </si>
  <si>
    <t>Pat Hanks (responsible more than 3 years)</t>
  </si>
  <si>
    <t>Lesia Kudelka (more than 3 years)</t>
  </si>
  <si>
    <t>Holly Beeson (more than 3 years)</t>
  </si>
  <si>
    <t>Rebecca Leach (less than 3 years)</t>
  </si>
  <si>
    <t>Number of employer/employee requests
Number of public hearings
Number of classes conducted
Number of tweets
Number of eBlasts
Number of outside presentations/meetings
Number of website updates (new information)
Decrease in injury and illness rates</t>
  </si>
  <si>
    <t>Number of programmed inspections
Number of affected employees (programmed)
Decrease in injury and illness rates</t>
  </si>
  <si>
    <t>Anthony Wilks (responsible more than 5 years)</t>
  </si>
  <si>
    <t>Number of focused inspections
Number of affected employees (focus)
Decrease in injury and illness rates</t>
  </si>
  <si>
    <t>Number of consultations
Number of affected employees
Number of employers
Amount of fines saved
Lapse time between request and consultation
Decrease in injury and illness rates</t>
  </si>
  <si>
    <t>Number of unprogrammed investigations
Number of affected employees (unprogrammed)
complaints; response time within 7 days
Decrease in injury and illness rates</t>
  </si>
  <si>
    <t>Number of training classes
Number of employers trained
Number of employees trained
Decrease in injury and illness rates</t>
  </si>
  <si>
    <t>Number of Employer/Employee Requests</t>
  </si>
  <si>
    <t>October 1 - September 30</t>
  </si>
  <si>
    <t>Number of Public Hearings</t>
  </si>
  <si>
    <t>Required by Federal</t>
  </si>
  <si>
    <t>Number of Classes Conducted</t>
  </si>
  <si>
    <t>Number of Tweets</t>
  </si>
  <si>
    <t>Number of eBlasts</t>
  </si>
  <si>
    <t>Number of Outside Presentations/Meetings</t>
  </si>
  <si>
    <t>Number of Website Updates (new information)</t>
  </si>
  <si>
    <t>Number of Employees Recruited</t>
  </si>
  <si>
    <t>Considering Using in the Future</t>
  </si>
  <si>
    <t>Number of Employees Retained (within 2 years)</t>
  </si>
  <si>
    <t>Percentage of Employees Receiving 40 or More Hours of Annual Training</t>
  </si>
  <si>
    <t>Percentage of Required Employers Contacted for Annual Survey/Audit</t>
  </si>
  <si>
    <t>&gt;85%</t>
  </si>
  <si>
    <t>Number of Programmed Inspections</t>
  </si>
  <si>
    <t>Quarterly</t>
  </si>
  <si>
    <t>Number of Affected Employees (programmed)</t>
  </si>
  <si>
    <t>Number of Unprogrammed Investigations</t>
  </si>
  <si>
    <t>Number of Affected Employees (unprogrammed)</t>
  </si>
  <si>
    <t>Complaints; Response Time Within 7 Days</t>
  </si>
  <si>
    <t>Number of Focused Inspections</t>
  </si>
  <si>
    <t>Number of Training Classes</t>
  </si>
  <si>
    <t>Number of Employers Trained</t>
  </si>
  <si>
    <t>Number of Employees Trained</t>
  </si>
  <si>
    <t>Number of Consultations</t>
  </si>
  <si>
    <t>Number of Affected Employees (consultations)</t>
  </si>
  <si>
    <t xml:space="preserve">Number of Employers  </t>
  </si>
  <si>
    <t>Amount of Fines Saved</t>
  </si>
  <si>
    <t>Lapse Time Between Request and Consultation</t>
  </si>
  <si>
    <t>Number of VPP Sites</t>
  </si>
  <si>
    <t>Number of SHARP Sites (new)</t>
  </si>
  <si>
    <t>Number of Students Trained (Youth Safety Program)</t>
  </si>
  <si>
    <t>Number of Classes Conducted (Youth Safety Program)</t>
  </si>
  <si>
    <t>Number of Counties (Youth Safety Program)</t>
  </si>
  <si>
    <t>Number of Active VPP Sites (Youth Safety Program)</t>
  </si>
  <si>
    <t>Number of Contested Cases Filed</t>
  </si>
  <si>
    <t>January - December</t>
  </si>
  <si>
    <t>Number of Contested Cases Resolved</t>
  </si>
  <si>
    <t>Number of 11c Whistleblower Complaints Filed</t>
  </si>
  <si>
    <t>Number of Whistleblower Complaints Resolved</t>
  </si>
  <si>
    <t>Number of Informal Conferences</t>
  </si>
  <si>
    <t>Number of Contested Cases Filed After an Informal Conference</t>
  </si>
  <si>
    <t>Number of Settlements</t>
  </si>
  <si>
    <t>Decrease in Injury and Illness Rates</t>
  </si>
  <si>
    <t>&gt;2%</t>
  </si>
  <si>
    <t>&gt;1%</t>
  </si>
  <si>
    <t>Number of Affected Employees (focus)</t>
  </si>
  <si>
    <t>Respond timely to all FOIA requests and subpoenas.</t>
  </si>
  <si>
    <t>Jan - Dec</t>
  </si>
  <si>
    <t>All requested</t>
  </si>
  <si>
    <t xml:space="preserve">All requested </t>
  </si>
  <si>
    <t>Reply to inquiries within 24 hours, excluding holidays and weekends.</t>
  </si>
  <si>
    <t>All inquiries</t>
  </si>
  <si>
    <t>Attend board meetings when proposed regulations are discussed</t>
  </si>
  <si>
    <t>Consider using in future</t>
  </si>
  <si>
    <t>Draft proposed regulations.</t>
  </si>
  <si>
    <t>Publish drafting notices and proposed regulations.</t>
  </si>
  <si>
    <t xml:space="preserve">Establishes the right of persons to engage in a lawful profession or occupation, limits abridgement of that right, and sets standards for determining the proper degree of  regulation of professions and occupations; and outlines the factors the General Assembly needs to weigh when determining if an occupation or profession needs to be regulated.  </t>
  </si>
  <si>
    <r>
      <t xml:space="preserve">Establishes authority of the Department and Director with respect to the boards.  </t>
    </r>
    <r>
      <rPr>
        <sz val="10"/>
        <rFont val="Calibri Light"/>
        <family val="2"/>
        <scheme val="major"/>
      </rPr>
      <t>Mandates the Director to annually prepare a report to the Governor and General Assembly indicating those regulated trades, occupations, and professions that do not meet the criteria for regulation.</t>
    </r>
  </si>
  <si>
    <t>Establishes the framework for the boards' fee structures and future adjustment of fees.</t>
  </si>
  <si>
    <t>Authorizes the Director to implement biennial licensure renewal.</t>
  </si>
  <si>
    <t>Allows licensing boards to delegate licensing decisions to LLR within established guidelines.</t>
  </si>
  <si>
    <t xml:space="preserve">Authorizes the Department to suspend a license for a person found to be in violation of the Family Independence Act as it relates to child support enforcement. </t>
  </si>
  <si>
    <t>Authorizes LLR to prepare an annual report to the Governor and requires the LLR Director to seek approval of LLR administered boards and commissions at least 30 days before filing  with the Legislative Council any proposed changes in rules or regulations which may affect the practice or service of the licensing board or commission.</t>
  </si>
  <si>
    <t xml:space="preserve">Authorizes the Department to conduct investigations for allegations of professional misconduct, and outlines the Department's investigative subpoena powers. </t>
  </si>
  <si>
    <t xml:space="preserve">Authorizes the boards to take disciplinary action for allegations of professional misconduct, and authorizes the Department to administer oaths and subpoenas as part of a disciplinary action proceeding. </t>
  </si>
  <si>
    <t>Authorizes the boards to issue cease and desist orders to a person who is violating or intends to violate one of the practice acts and permits the board to seek a temporary restraining order.  Also grants the board and Agency immunity for a wrongful temporary restraining order.</t>
  </si>
  <si>
    <t xml:space="preserve">Establishes the term of board jurisdiction over actions committed or omitted by current and former licensees during the entire period of licensure. </t>
  </si>
  <si>
    <t>Authorizes and outlines board sanctions after a finding of misconduct pursuant to a board's licensing act.</t>
  </si>
  <si>
    <t>Authorizes the Agency to institute a proceeding for injunctive relief against a person violating Title 40 or an order of the board.</t>
  </si>
  <si>
    <t>Chapter 10 establishes in regulation the fees charged by most of the professional and occupational licensing boards and commissions administered by LLR</t>
  </si>
  <si>
    <t>Building Codes Enforcement Officers Practice Act. Directs that the Building Codes Council is responsible for the registration (licensing) of building codes enforcement officers, contract inspectors and special inspectors, and sets forth the general requirements to obtain registration.</t>
  </si>
  <si>
    <t>Building Code Council Regulations establish the registration classifications for building officials and inspectors and the specific qualifications required for each classification; - time limits within which the qualifications must be obtained; - exemptions from registration, renewal procedures, reinstatement of registrations; - proration of continuing education requirements for the first renewal, comity and conflict of interest provisions, grounds for denial, suspension or revocation of a registration; and disciplinary procedure.</t>
  </si>
  <si>
    <t>Building Codes Act establishes the membership, function, and meeting requirements of the Building Codes Council; authorizes the Building Codes Council to review, adopt, modify, and promulgate the designated nationally recognized ICC building, residential, gas, plumbing, mechanical, fire and energy codes and the National Fire Protection Association national electrical code; provides a procedure for adopting such codes; provides for standards of the Council's review and approval of  modifications of adopted codes and energy standards requested by local governments; and provides for enforcement of such adopted codes by municipalities and counties.</t>
  </si>
  <si>
    <t>Building Codes Council regulations authorize the Council to clarify the codes and standards it adopts; provide a procedure and requirements for modification of building codes; provides for a study committee to perform a technical analysis of proposed statewide modifications to building codes; and provides for notice and comments on proposed building code modifications.</t>
  </si>
  <si>
    <t>Modular Buildings Construction Act . Applies to the construction of modular building units constructed offsite in accordance with applicable building codes, other than HUD codes for mobile or manufactured homes; prescribes standards for modular building units  and for such units  to be certified by the Building Codes Council; establishes standards for placement of modular homes;. requires an approved inspection agency to perform final plan review and approval, inspection and certification of a single family residential modular building, and for those plans to be thereafter submitted to LLR for filing (commercial or multifamily modular building plans are submitted to LLR for final plan review and approval); provides for the Council's suspension or revocation of certification of noncompliant modular building units; authorizes the Council to grant variance from regulations in certain situations; requires the licensing of third-party inspection agencies,  manufacturers of modular building units and manufacturer's representatives; and provides for a private cause of action for violation of the act or regulations.</t>
  </si>
  <si>
    <t>Modular building regulations provide for the delegation of inspection authority to approved inspection agencies and set forth the details of the documentation such approved agencies must submit to LLR for filing or for LLR's final plan review; require quality control procedures; address requirements for changes to approved plans and to name, address and ownership of licensees; provide for the use of alternate methods of construction and materials; provide for inspection standards; authorize the Council to enter into reciprocity agreements with other states; address the issuance, use and denial of certification labels; provide details on license application requirements and grounds for denial; provide for disciplinary procedures  and grounds for discipline of licensees; provide for appeal procedures; allow for erection of modular buildings by licensed general contractors or residential builders; provide exemptions from regulation for certain types of mobile units; and provide for recertification of modular buildings.</t>
  </si>
  <si>
    <t>Building Accessibility Act. Creates the Accessibility Committee for the South Carolina Building Codes Council to advise the Council on all matters concerning accessibility to buildings, structures and facilities by persons with disabilities; establishes general minimum standards for accessibility requirements and requires buildings to comply with them; requires display of international handicapped wheelchair symbol at entry of buildings; and provides for a private cause of action for enforcement of the act and regulations.</t>
  </si>
  <si>
    <t>Accessibility Regulations provide that buildings except for one and two family detached dwellings and certain other residential buildings, all buildings must have all levels and areas made accessible to disabled persons in accordance with the latest edition of ICC/ANSI document A117.1, and provide the minimum number of fully accessible units for buildings with rental units, depending on number of units; prohibit construction of public buildings not in compliance with the regulations; and provide for the interpretation and enforceability of the regulations.</t>
  </si>
  <si>
    <t>Uniform Land Sales Practices Act.  Requires registration with the Real Estate Commission prior to sale in this state of undeveloped, subdivided land located out of state, and review by the Commission of that registration. Annual renewal reports are also required.   Applications include among other things, public offering statements, copies of deeds, statement of condition of title and other information relevant to purchasers of the property; provides for investigative power by the Commission, and creates a procedure for revocation of a registration.</t>
  </si>
  <si>
    <t>Architectural Practice Act. Creates Board of Architectural Examiners; directs licensing  of architects and issuance of certificates of authority for architecture firms; provides for investigations of complaints against and discipline of licensees and firms; and authorizes the SC Architecture Education and Research Fund.</t>
  </si>
  <si>
    <t>Accountancy Practice Act. Creates Board of Accountancy; directs licensing of public accountants and registration of accounting firms; and provides for investigations of complaints against and discipline of  licensed accountants and accounting firms.</t>
  </si>
  <si>
    <t>Accountancy Board regulations setting forth details of licensing requirements, continuing education requirements, peer review of firms, establishing professional standards, and addressing safeguarding of client files on death or incapacity of public accountant.</t>
  </si>
  <si>
    <t>Architectural Board Regulations address details of  election and terms of board members, board meetings, licensing,  renewals and reinstatements of licenses, reciprocity registrations, continuing education requirements, and use of seals by licensees and creates a code of professional ethics.</t>
  </si>
  <si>
    <t>Perpetual Care Cemeteries Practice Act. Creates the Perpetual Care Cemetery Board; directs the licensing of companies developing or operating perpetual care cemeteries, mausoleums and underground crypts; sets forth substantive obligations of those regulated entities; and provides for investigation of complaints against and discipline of licensees.</t>
  </si>
  <si>
    <t>Chiropractors Practice Act. Creates the Board of Chiropractic Examiners; directs the licensing of chiropractors and chiropractic preceptors; and provides for investigations and discipline of licensees.</t>
  </si>
  <si>
    <t xml:space="preserve">Chiropractors Regulations provide details on application for licensure; provisions for licensing chiropractors already licensed elsewhere; reactivation of expired licenses; set forth continuing education requirements; establish permitted therapeutic  modalities, including machines and equipment; identify unprofessional conduct; establish patient rights; adopt a code of ethics; and provide a procedure for disciplinary actions against licensees. </t>
  </si>
  <si>
    <t>Fire Protection Sprinkler Act is administered by the Contractor's Licensing Board. It directs licensing of fire sprinkler contractors, provides for investigation of complaints and discipline against licensees, and requires review of shop drawings by the State Fire Marshal; and bars unlicensed contractors from bidding or entering into or enforcing a contract, or obtaining a construction permit.</t>
  </si>
  <si>
    <t xml:space="preserve">Contractors Practice Act. Establishes the Contractor's Licensing Board and directs licensing of numerous license classifications and subclassifications  of general and mechanical construction contractors as well as construction managers; provides for investigation of complaints and discipline against licensees as well as administrative citations with fines for unlicensed contractors; and bars unlicensed contractors from bidding, or entering into or enforcing contracts,  or obtaining building permits. </t>
  </si>
  <si>
    <t>Chapter 29-1 to 29-12</t>
  </si>
  <si>
    <t>Cosmetology Practice Act. Creates the Board of Cosmetology and directs the licensing of cosmetologists and related occupations,  provides for the inspection and registration of salons and cosmetology schools; and provides for investigations of complaints against and discipline of  individual licensees, salons and schools.</t>
  </si>
  <si>
    <t>Dentistry Practice Act. Establishes the Board of Dentistry; directs licensing of dentists, dental hygienists, dental technicians and related dental occupations;  sets dental sedation requirements and permitting of mobile dental facilities; and provides for investigation of complaints against and discipline of licensees.</t>
  </si>
  <si>
    <t>Dentistry Board Regulations provide details on board elections, licensure requirements and continuing education; creates a code of ethics and procedures approved for performance by dental assistants and establishes sanitary standards for dental offices and labs, sedation and general anesthesia guidelines, and requirements for portable dental operations.</t>
  </si>
  <si>
    <t>Funeral Services Practice Act. Establishes the Board of Funeral Services; directs licensing of funeral directors, embalmers and related occupations; provides for permits for funeral homes and other funeral related business establishments; establishes inspections of new and existing funeral establishments; sets forth investigation of complaints against and discipline of individual and establishment licensees; and imposes disclosure and other obligations on licensees.</t>
  </si>
  <si>
    <t xml:space="preserve">Board of Funeral Services Regulations address board meetings, election Board officers, licensing and apprenticeship requirements, and continuing education; adopts a code of ethics; and create inspection guidelines and crematory requirements.  </t>
  </si>
  <si>
    <t>Dietetics Practice Act. Creates the Panel for Dietetics; and directs the licensing of  dieticians, discipline of licensees and mediation of consumer complaints.</t>
  </si>
  <si>
    <t>Dietetic Regulations provide for meetings of the Panel, the election of Panel officers and their duties; requirements for sitting for the licensure exam and for obtaining a license; requirements for continuing education and licensure renewal; reinstatement of expired licenses; adoption of a code of ethics; provide a procedure for complaints; exempt weight control programs from regulation; provide for interpretation of the statute and regulations consistent with the Standards of Professional Responsibility and Standards of Practice of the American Dietetic Association Commission of Dietetic Registration (Commission); authorize reporting disciplinary actions to the  Commission.</t>
  </si>
  <si>
    <t xml:space="preserve">Board of Registration for Professional Engineers and Surveyors Practice Act. Establishes the Board of Registration for Professional Engineers and Surveyors; directs licensing of engineers and surveyors, and issuance of certificates of authority for engineering and surveying firms; and provides for investigation of complaints against and discipline of individual licensees and firms, including enforcement of unlicensed practice with  fines. </t>
  </si>
  <si>
    <t>Environmental Certification Board Practice Act. Creates the Environmental Certification Board; directs the licensing of persons working as operators of environmental systems such as public water and wastewater treatment facilities, public water systems and well drillers; and provides for investigation of complaints against and discipline of licensees.</t>
  </si>
  <si>
    <t>Directs the licensing of individuals as  commercial inspectors under the  Contractor's Licensing Board;  and provides for discipline of licensees; prohibits entity licensing; prohibits unlicensed inspectors from enforcing contracts.</t>
  </si>
  <si>
    <t>40-28-10 to 40-28-220</t>
  </si>
  <si>
    <t>Landscape Architects Practice Act. Creates the Board of Landscape Architectural Examiners; directs the licensing of landscape architects and issuance of certificates of authority for landscape architectural firms; and provides for investigation of complaints against and discipline of individual and firm licensees.</t>
  </si>
  <si>
    <t>Landscape Architect Regulations provide details on exam and licensure requirements, use of seals, continuing education, practice by firms, and adoption of a code of ethics.</t>
  </si>
  <si>
    <t>Manufactured Housing Practice Act. Creates the Manufactured Housing Board; directs licensing of individuals and businesses engaged in selling or manufacturing of manufactured homes or installing, modifying or repairing them; provides for investigation of complaints against and discipline of licensees as well as citations and fines for unlicensed practice; provides for claims against surety bonds; authorizes the Board to carry out the Federal Construction and Safety Standards Act as the designated state agency and conduct inspections of factories, warehouses and dealerships; imposes statutory warranties; and directs energy efficient labeling.</t>
  </si>
  <si>
    <t>Manufactured Housing Regulations provide details on licensure requirements and procedures, surety bonds and other security, contract rescission, handling of funds, recordkeeping requirements, inspections, construction and safety standards, installation requirements, minimum habitability requirements for used manufactured homes, reporting requirements of licensees, limitations on scope of various licenses, training requirements, and complaint and hearing procedures.</t>
  </si>
  <si>
    <t>Nursing Practice Act. Creates the Board of Nursing; directs the licensing of and creates the scope of practice of various classifications of nurses and requires approval of nursing schools; provides for reporting of misconduct against and discipline of licensees; provides for continuing education; and enacts the enhanced Nurse Licensure Compact for interstate practice of LPNs and RNs.</t>
  </si>
  <si>
    <t>Long Term Health Care Practice Act. Creates the Board of Long Term Health Care Administrators; directs the licensing of administrators of nursing home and assisted living facilities; and provides for the investigation of complaints against and discipline of licensees.</t>
  </si>
  <si>
    <t>Long Term Health Care Regulations provide details on qualifications for licensure, exam and training requirements, grounds for discipline, and disciplinary hearing procedures; and set forth continuing education requirements.</t>
  </si>
  <si>
    <t>Occupational Therapy Practice Act. Creates the Board of Occupational Therapy; directs the licensing of occupational therapists and  occupational therapy assistants; and provides for the investigation of complaints against and discipline of licensees.</t>
  </si>
  <si>
    <t>Occupational Therapy Regulations provide details on election of board officers and meetings,  on licensing requirements, reactivation of licenses, and continuing education; and on adoption of a code of ethics.</t>
  </si>
  <si>
    <t>Optometrists Practice Act. Creates the Board of Examiners in Optometry; directs the licensing of optometrists and permits for mobile units; provides for the investigation of complaints against and discipline of licensees; prohibits laser and other surgery and administration of medicines by injection or IV; requires $1 million of malpractice insurance; and prohibits certain advertising practices.</t>
  </si>
  <si>
    <t>Optometry Regulations address advertisements, approved schools and exams for meeting licensure requirements; and continuing education requirements, licensure of optometrists licensed elsewhere, standards for patient records, and scope of contact lens prescribing.</t>
  </si>
  <si>
    <t>Opticianry Practice Act. Creates the Board of Examiners in Opticianry; directs the licensure of opticians and contact lens opticians; requires a prescription; prohibits dispensing eyeglasses from manufacturing and wholesale locations; and regulates certain sales practices.</t>
  </si>
  <si>
    <t>Opticianry Regulations provide details on election of board officers, board meetings, licensure exams, continuing education, apprenticeships, and reinstatement of lapsed licenses; and establish standards of practice for patient records and advertising.</t>
  </si>
  <si>
    <t>Pharmacy Practice Act. Creates the Board of Pharmacy; directs the licensing of pharmacists and related occupations, permitting and inspection of in state pharmacies and facilities for the manufacturing, distribution or storage of prescription drugs and devices and permitting of out of state pharmacies and other entities distributing prescription products in SC; provides for investigation of complaints against and discipline of licensees and permitees; creates facility requirements and standards for pharmacies and other facilities, and reporting requirements for permit holders; provides for continuing education; and authorizes pharmacists to administer certain vaccines.</t>
  </si>
  <si>
    <t>Pharmacy Regulations establish categories of facility permits; and provide for administrative citations, and  monetary penalties for licensees and permittees as well as for unlicensed practice by individuals.</t>
  </si>
  <si>
    <t>Physical Therapy Practice Act. Creates the Board of Physical Therapy Examiners; directs the licensing of physical therapists and physical therapy assistants;  and provides for investigation of complaints against and discipline of licensees.</t>
  </si>
  <si>
    <t>Physicians and Miscellaneous Health Professionals Practice Act. Creates the Board of Medical Examiners, and directs the licensing of physicians, physician assistants, respiratory care therapists, anesthesiologist assistants, cardiovascular invasive specialists, acupuncturist and acupuncturist related occupations; provides for investigation of complaints against and discipline of licensees; creates a medical disciplinary commission and procedure to hear disciplinary matters against physicians, and various committees to review applications and to hear disciplinary actions against non-physicians licensed by the Board;  provides for physician supervision and scope of practice guidelines for certain non-physician practitioners; addresses requirement of practice by telemedicine; provides for continuing education; and authorizes, but does not mandate inspections of facilities employing physician assistants, anesthesiologist assistants, acupuncturists, or auricular detoxification specialists.</t>
  </si>
  <si>
    <t>Chapter 81-1 to 81-300</t>
  </si>
  <si>
    <t>Podiatrists Practice Act. Creates the Board of Podiatry Examiners, and directs the licensing of podiatrists; provides grounds and procedure for disciplining licensees; and provides for continuing education and disposition of board income.</t>
  </si>
  <si>
    <t>Psychologists Practice Act. Creates the Board of Examiners in Psychology; directs the licensing of psychologists; and provides for investigation of complaints against and discipline of licensees; provides for disposition of board income.</t>
  </si>
  <si>
    <t>Pyrotechnic Safety Act. Creates the Board of Pyrotechnic Safety; requires a license for each location where consumer or display fireworks (former class B and C fireworks) are manufactured, sold or stored as well as inspection of such locations prior to initial licensure as well as prior to licensure renewal; provides for investigation of complaints against and discipline of licensees; requires fireworks to comply with federal standards and consumer fireworks to also comply with CPSC standards; prohibits sale of fireworks to anyone under age 16 and makes retail sale and use of small bottle rockets illegal; provides for the issuance of administrative citations; and mandates reporting of any fire or explosion at a licensed location.</t>
  </si>
  <si>
    <t>Pyrotechnic Safety Board Regulations.  Establishes the NFPA 1124, 2006 edition as the applicable minimum standards; sets fees and license terms and permitting requirements; and provides supplemental provisions to statute for sale of consumer and display fireworks and for wholesale distributors.</t>
  </si>
  <si>
    <t>Real Estate Practice Act. Creates the Real Estate Commission; directs the licensing of real estate salespersons, brokers, property managers and related occupations;  provides for investigation of complaints against and discipline of licensees; sets forth inspections of licensees' offices; establishes approvals of education courses, providers and instructors; establishes  duties and obligations of licensees, including trust accounts, record keeping, and continuing education requirements; and provides for an Education and Research Fund administer by the Commission.</t>
  </si>
  <si>
    <t>Residential Home Builders Practice Act.  Creates the Residential Builders Commission; directs licensing of individual residential builders, home inspectors, and of various residential building specialty trade contractors, as well as  for entities that do not have an individual with least 51% ownership who is the sole resident licensee; sets forth investigations of complaints against and discipline of licensees, as well as administrative citations with fines for unlicensed practice; and prohibits filing of mechanics liens and enforcement of contracts by unlicensed persons.</t>
  </si>
  <si>
    <t>Appraisal Management Company Registration Act. Directs the registration of appraisal management companies by the Real Estate Appraisers Board; sets requirements for their owners, employees and independent contractors; establishes record-keeping requirements and imposes other obligations upon appraisal management companies; and provides for investigation of complaints against and discipline of appraisal management companies.</t>
  </si>
  <si>
    <t>Real Estate Appraiser Regulations provide details on qualifications of various categories of appraisers; create  a point system for determining experience credit; establish responsibilities of apprentice and supervising appraisers; provide details of continuing education; provide details on investigative and disciplinary procedures and actions; provide for cancellation of licenses for payment of fees with a bad check; address consequences of expired licenses; give details on requirements for appraiser education courses, of educational providers, and for instructors; and establish maximum fees.</t>
  </si>
  <si>
    <t>Social Work Practice Act. Creates the Board of Social Work Examiners; directs the licensing of various classifications of social workers; provides for investigation of complaints against and discipline of licensees; prohibits disclosure of client information with limited exceptions; and requires licensees to make certain disclosures to clients.</t>
  </si>
  <si>
    <t>Soil Classifiers Practice Act. Directs the licensing by LLR of professional soil classifiers and trainees; provides for investigation of complaints against and discipline of licensees and provides for LLR's appointment of a soil classifiers advisory council, which hears disciplinary matters.</t>
  </si>
  <si>
    <t>Speech Pathologists &amp; Audiologists Practice Act. Creates the Board of Examiners in Speech-Language Pathology and Audiology; directs the licensing of speech-language pathologists and audiologists, and related occupations; provides for investigation of complaints against and discipline of licensees; sets forth continuing education requirements; establishes audiologist obligations regarding dispensing of hearing aids; and adopts a code of ethics.</t>
  </si>
  <si>
    <t>Veterinarians Practice Act. Creates the Board of Veterinary Medical Examiners; directs the licensing of veterinarians and veterinary technicians;  provides for the registration and regulation by the Veterinary Board of  non-governmental animal shelters that provide veterinary services; provides for lien on animals for payment of charges; provides for notice and disposition of abandoned animals left with a veterinarian; imposes requirements for veterinary prescription labels; imposes obligations regarding mobile veterinary facilities; and requires the registration of emergency veterinary clinics and directs LLR to maintain a list of all such emergency  clinics on its website.</t>
  </si>
  <si>
    <t>Professional Counselors, Marriage and Family Therapists, and Licensed Psycho-educational Specialists Regulations address election officers of the board and board meetings; provide details on licensing requirements and describe specific training requirements for the different categories of licensees; provide for reactivation of expired licenses; and establish continuing education requirements.</t>
  </si>
  <si>
    <t>Geologists Practice Act. Creates the Board of Registration for Geologists; directs the licensing of geologists and geologists-in-training; provides for investigation of complaints against and discipline of licensees.</t>
  </si>
  <si>
    <t>Geologists Regulations address election officers of the board and board meetings; provide details on exams and other  licensing requirements; provide for licensure in SC of geologists already licensed elsewhere; address reactivation of licenses; set forth requirements for and use of seals by licensees; describe continuing education requirements; and adopt a code of ethics.</t>
  </si>
  <si>
    <t>Athletic Commission Act.  Creates the Athletic Commission; incorporates by reference the federal Professional Boxing Safety Act and other federal laws relating to boxing; requires the licensure of boxers, kick boxers, mixed martial arts contestants, wrestlers, and others involved in regulated exhibitions, matches or events such as promoters, referees, judges, managers, trainers, seconds, timekeepers, announcers, or matchmakers; requires permits for all regulated events such as exhibitions and provides for LLR's supervision of such events; and provides for investigation of complaints against and discipline of licensees, including issuance of administrative citations and administrative penalties for unlicensed or unpermitted activities.</t>
  </si>
  <si>
    <t>Athletic Commission Regulations establish the details of the substantive regulation of boxing, kick boxing, mixed martial arts, such as classes of boxers, weighing of contestants, ring safety and equipment; establish rules applicable to the conduct of matches or bouts as well as to boxers, managers, seconds, referees and judges, promoters, matchmakers announcers, timekeepers , and physicians; establish the duties of the LLR Commission representative at events; provide details on licensing and permit requirements; establish additional rules for female boxers; establish procedures for hearings; establish insurance requirements.</t>
  </si>
  <si>
    <t xml:space="preserve">Alarm System Business Act.  Directs the licensing by the Contractor's Licensing Board of burglar alarm system and  fire alarm system businesses, and of their qualifying persons; requires the registration  of certain other of  their employees; investigation of complaints against and discipline of licensees and their registered employees; bars unlicensed businesses from enforcing contracts or obtaining building permits. </t>
  </si>
  <si>
    <t>Liquid Petroleum Gas Practice Act. Creates the Liquid Petroleum Gas Board; directs the licensing of manufacturers (gas plants), distributors, sellers, and transporters of liquefied petroleum gas (LPG), as well as storage facilities, gas cylinder exchange facilities and those installing, servicing, repairing, adjusting or connecting appliances to LPG systems or containers; provides for investigation of complaints of violations of the act, and discipline of licensees as well as sanctions for unlicensed persons; authorizes the State Fire Marshal to enter and inspect premises of those engaged in the LPG industry and take necessary action, including orders to remove or correct the violation or to order evacuation; prohibits grounding of electrical circuits or electrical appliances or apparatus to an LPG gas system or LPG appliance; requires certain safety features for LPG heaters or heating appliances used at certain types of buildings; requires an installer or worker to notify the propane supplier before beginning work on any LPG system and requires the consumer, owner or end user to notify the dealer who next fills or services the LPG system that such work has been performed; and requires LPG dealers to annually notify their customers of their duty to report such work.</t>
  </si>
  <si>
    <t>Foresters Practice Act.  Creates the Board of Registration for Foresters; directs the licensing of individuals as  registered foresters and prohibits firm or entity licensing; requires trust or escrow accounts and provides that records of those accounts must be made available to the Board on request; and provides for investigation of complaints against and discipline of licensees.</t>
  </si>
  <si>
    <t>Forester Regulations establish the headquarters of the Board; provide for the election of Board officers and their respective duties; provide details regarding Board meetings and use of the Board seal; provide details regarding applications and requirements for licensure; address expiration and renewal of licenses; provide for reciprocity registration; require licensees to notify the board of changes of address; provide for exceptions to statutorily prohibited acts; adopt a code of ethics; establish Board fees; and establish continuing education requirements.</t>
  </si>
  <si>
    <t xml:space="preserve">Pilotage Regulations.  Address the selection, training, and licensure of pilots and apprentice pilots, including physical requirements and age limitations; set forth the licensure and registration of pilots; provide for the discipline, including investigations and the suspension and revocation of pilot licenses; establish license and registration fees; pilot charges and fees; pilot functions and responsibilities; safe vessel movement; and reports of accidents, marine casualties and other dangerous situations; address docking and undocking; establish number of licensed pilots; establish pilotage areas; require the maintenance and publication of a Commission policies and procedures manual; provide that pilots and pilot vessels are part of the S.C. Naval Militia;  and other matters affecting the safe and efficient administration of pilotage.
</t>
  </si>
  <si>
    <t>OSHA; establishes the Division's authority to maintain/regulate the health and safety of the state's workers in the workplace.</t>
  </si>
  <si>
    <t>Boiler Safety Act.  Directs LLR to regulate the installation and inspection of boilers, to certify special inspectors for boilers, to investigate complaints against and discipline certified inspectors; requires owners and operators of boilers to file with LLR evidence of timely inspection; authorizes LLR inspections; and provides for restamping of boilers, condemnation of boilers and reinstallation of boilers.</t>
  </si>
  <si>
    <t>Boiler Safety Regulations establish minimum construction standards for boilers, and frequency and notification of inspections of boilers; address exams required for special inspectors, and submission of inspection reports to LLR; prohibit inspector conflicts of interest; and require special inspectors to notify LLR of unsafe boilers and owners to notify of accidents resulting in personal injury.</t>
  </si>
  <si>
    <t>Elevators; establishes how the Division exercises its authority to regulate the safe operation of the state's elevators and related equipment.</t>
  </si>
  <si>
    <t>Elevators; "South Carolina Elevator Code" establishes the Division's authority to regulate and issue annual certificates regarding  the safe installation, maintenance and operation of the state's elevators and related equipment.</t>
  </si>
  <si>
    <t>Amusement Rides; establishes how the Division exercises its authority to regulate the safe operation of the state's amusement rides and related equipment.</t>
  </si>
  <si>
    <t>Immigration - Illegal Aliens and Private Employment; establishes this Division's authority to regulate the verification of workers within the state.</t>
  </si>
  <si>
    <t>Establishes how the Division exercises its authority to discipline employers who fail to E-Verify employees and immigration assistance services who fail to comply with the law.</t>
  </si>
  <si>
    <t>Authorizes the Fire Marshal to issue and charge a fee for fire equipment licenses and permits.</t>
  </si>
  <si>
    <t>Establishes the Fire Marshal's authority to inspect buildings or premises; and mandates the Fire Marshal require conformance with fire prevention and protections based on nationally recognized standards.</t>
  </si>
  <si>
    <t>Outlines the appeal process from an order of the State Fire Marshal; authorizes assessments of penalties; establishes subpoena power; establishes a duty to report to local law enforcement; and establishes public's access to records and retention schedule.</t>
  </si>
  <si>
    <t>Authorizes the Fire Marshal to promulgate regulations governing the installation of smoke detectors in apartments and houses having no fire protection system.</t>
  </si>
  <si>
    <t>Establishes procedure for Fire Marshal to issue a "Notice of Violation" concerning an unsafe buildings, and allows the Fire Marshal to seek injunctive relief.</t>
  </si>
  <si>
    <t>Establishes the South Carolina Hydrogen Permitting Program, and authorizes the Fire Marshal to permit, license, and inspect.</t>
  </si>
  <si>
    <t xml:space="preserve">Explosive regulations establish codes and standards applicable to the manufacture, transportation, handling, use and storage of explosives other than sale or storage of fireworks regulated by the Board of Pyrotechnic Safety; provide for licensing of blasters and issuance of permits for blasting by the State Fire Marshal and fees for the same; establish recordkeeping requirements for blasts; establish safety and operational requirements for blasting; provide for investigations by the State Fire Marshal; and authorize the State Fire Marshal to grant, modify and revoke variances of certain provisions of the regulations. </t>
  </si>
  <si>
    <t>Fire and Life Safety Regulations for Special Occupancies establish the codes and standards for fire prevention and life safety for day care facilities and foster homes; and require the State Fire Marshal to work with local resident fire marshals to ensure regular fire and life safety inspections are conducted for all public schools that are subject to the regulations and to work in conjunction with the State Department of Education to ensure inspection of each new school is conducted prior to occupancy.</t>
  </si>
  <si>
    <t>Fireworks and Pyrotechnics regulations regulate the handling, use, transportation and storage of pyrotechnics and fireworks except those governed by the State Board of Pyrotechnic Safety; establish applicable codes, requirements and standards; and provide for licensing of pyrotechnic operators (shooters) and issuance of event permits for displays.</t>
  </si>
  <si>
    <t>Hydrogen Facilities regulations regulate the handling, use storage, transfer and dispensing at a hydrogen facility; establish the applicable codes and standards; and provide for Fire Marshal review of plans and specifications for hydrogen facilities, licensing and permitting and inspection of  hydrogen facilities, and applicable fees.</t>
  </si>
  <si>
    <t xml:space="preserve">Establishes the South Carolina Fire Academy and Fire Academy Advisory Committee; and allows for purchase of uniforms.  </t>
  </si>
  <si>
    <t>Regulates the use of pyrotechnic materials indoors;  and outlines penalties for violation of chapter.</t>
  </si>
  <si>
    <t>Provides that heaters or heating elements used at the State Farmers Market are subject to inspection by the Fire Marshal's Office.</t>
  </si>
  <si>
    <t>OSHA; establishes Division's authority to promulgate, modify and/or revoke the rules and regulations to be utilized in the maintenance and regulation of the health and safety of the state's workers as well as identifies such rules used.</t>
  </si>
  <si>
    <t>OSHA; establishes the Division's authority to address the rights and remedies of aggrieved employees through the whistleblower program.</t>
  </si>
  <si>
    <t>OSHA; establishes how the Division can exercise its authority to maintain/regulate the health and safety of the state's workers in the workplace specifically dealing with the requests for variances, limitations, variations, tolerance and other exemptions.</t>
  </si>
  <si>
    <t>OSHA; establishes how the Division can exercise its authority to maintain/regulate the health and safety of the state's workers in the workplace specifically dealing with recordkeeping and reporting of specific injuries and illnesses.</t>
  </si>
  <si>
    <t>OSHA; establishes how the Division can exercise its authority to maintain/regulate the health and safety of the state's workers in the workplace specifically dealing with the enforcement of violations.</t>
  </si>
  <si>
    <t>OSHA; establishes how the Division can exercise its authority to maintain/regulate the health and safety of the state's workers in the workplace specifically dealing with the inspection process and procedures.</t>
  </si>
  <si>
    <t>OSHA; establishes how the Division can exercise its authority to maintain/regulate the health and safety of the state's workers in the workplace, specifically dealing with access to employee medical records.</t>
  </si>
  <si>
    <t>OSHA; establishes how the Division can exercise its authority to address the rights and remedies of aggrieved employees in discrimination cases.</t>
  </si>
  <si>
    <t>OSHA; establishes how the Division can exercise its authority to maintain/regulate the health and safety of the state's workers in the workplace specifically dealing with the release and/or disclosure of sensitive, secret and/or confidential information.</t>
  </si>
  <si>
    <t>Child Labor; establishes the Division's authority to manage/regulate child labor in the state.</t>
  </si>
  <si>
    <t>Child Labor; establishes how the Division exercises its authority to manage/regulate child labor in the state.</t>
  </si>
  <si>
    <t>Directs the LLR Director to submit an annual report to Chairmen of the Senate and House Committees concerning the workload of the Administrator for the Accountancy Board.</t>
  </si>
  <si>
    <t>The Fire Academy may charge participants a fee to cover the cost of education, training programs, and operations.  The revenue generated may be applied to the cost of operations, and any unexpended balance may be carried forward to the current fiscal year and utilized for the same purposes.</t>
  </si>
  <si>
    <t>Revenue in the Real Estate Appraisal Registry account shall not be subject to fiscal year limitations and shall carry forward each fiscal year for the designated purpose.</t>
  </si>
  <si>
    <t>State appropriations to the Department of Labor, Licensing and Regulation that are required to provide match for federal grant programs in the prior fiscal year may be carried forward into the current fiscal year and expended for the same purpose as originally appropriated.</t>
  </si>
  <si>
    <t>Authorizes LLR to spend Agency earmarked and restricted accounts to maintain OSHA programs previously funded with general fund appropriations.  Any increase in spending authorization for these purposes must receive the prior approval of the Executive Budget Office.</t>
  </si>
  <si>
    <t>Prohibits LLR from authorizing reimbursement under Section 40-1-50(A) of the 1976 Code to members of any board listed in Section 40-1-40(B) for meetings held at any location other than the offices of the Department unless there has been a determination that the Department is unable to provide space for the meeting in a state-owned or leased facility in Richland or Lexington County.</t>
  </si>
  <si>
    <t>Upon the request of the Commission on Minority Affairs, the Department of Labor, Licensing, and Regulation shall provide assistance to establish and maintain a twenty-four hour toll free telephone number and electronic website to receive, record, collect, and report allegations of violations of federal immigration laws or related provisions of South Carolina law by any non-United States citizen or immigrant, and allegations of violations of any federal immigration laws or related provisions in South Carolina law against any non-United States citizen or immigrant.</t>
  </si>
  <si>
    <t>LLR: Pharmacy Interns. Requires the Board of Pharmacy to accept affidavits of practical experience from interns whose practical experience internships occurred in this State.  The affidavit must provide that the supervising pharmacist and the site of experience is licensed and in good standing with the Board and that the internship falls within the criteria for internships set by the Board.  The affidavit must be accompanied by a ten dollar fee to cover administrative costs associated with compliance with this proviso.</t>
  </si>
  <si>
    <t>LLR is authorized to purchase and issue clothing to the non-administrative staff of the Office of the State Fire Marshal that are field personnel working in a regulatory aspect and/or certified to be a resident state fire marshal.</t>
  </si>
  <si>
    <t>OSHA/Labor; establishes BLS and annual generation of injury and illness reports.</t>
  </si>
  <si>
    <t>OSHA; establishes how the Division can exercise its authority to maintain/regulate the health and safety of the state's workers in the workplace in more detail.</t>
  </si>
  <si>
    <t>OSHA, establishes the Division’s authority to maintain/regulate the health and safety of the state's workers in the workplace.</t>
  </si>
  <si>
    <t>Reduced Cigarette Ignition Propensity Standards and Firefighter Protection Act.</t>
  </si>
  <si>
    <t>Professional Counselors, Marriage and Family Therapists, and Licensed Psycho-educational Specialists Practice Act. Creates the Board of Examiners for Licensure of Professional Counselors, Marriage and Family Therapists, and Psycho-educational Specialists; directs the licensing of those professionals and certain related occupations; provides for investigation of complaints against and discipline of licensees; establishes confidentiality of client communications; and requires a disclosure statement to clients.</t>
  </si>
  <si>
    <t>Veterinary Regulations provide for the election of nominees for the Veterinary Board; provide details on licensure requirements and renewals, continuing education requirements of licensees and for providers or sponsors of continuing education programs; establish practice standards for veterinarians, veterinary technicians and unlicensed veterinary assistants; establish requirements for various types of veterinary facilities; and authorize LLR inspection of veterinary facilities.</t>
  </si>
  <si>
    <t>Soil Classifiers Regulations provide details regarding applications and examinations for licensure, requirements for licensee seals and continuing education; and adopt a code of ethics.</t>
  </si>
  <si>
    <t>Social Work Regulations establish continuing education requirements and principles of professional ethics.</t>
  </si>
  <si>
    <t xml:space="preserve"> Building Code Enforcement Officer (provisional), Building Official, Commercial Inspector, Commercial Plans Examiner, Modular Building Manufacturer's Representative, Residential Inspector, Residential Plans Examiner, Single discipline inspector, and Special Inspector Initial Licenses and Renewals</t>
  </si>
  <si>
    <t>Chiropractic Preceptor and Chiropractor Initial Licenses and Renewals</t>
  </si>
  <si>
    <t xml:space="preserve">Dental Instructor, restricted (professor), Dental Assistant, Expanded Duty for Nitrous Oxide Monitoring, Dental Auxiliary Instructor, restricted (technical colleges), Dental Hygienist, Dental Hygienist, Nitrous Oxide Monitoring  Certified, Dental Orthodontic Technician, Dental Technician, Dental Hygienist, Local Infiltration Anesthesia Administration Certified, Dentist, Deep Sedation Permitted, Dentist, General, Dentist, Moderate Sedation Permitted, Dentist, Sedation (Deep and Moderate) Provider, and Dentist, Specialty (for each specialty recognized by American Dental Association) Initial Licenses and Renewals </t>
  </si>
  <si>
    <t>Dietetics Panel initial licenses and Renewals</t>
  </si>
  <si>
    <t xml:space="preserve">Engineer - Associate, Engineer - Professional, Engineer-in-Training, Surveyor in training, Surveyor - Geographic Information Systems (GIS), Surveyor - Land (Tier A), Surveyor - Land (Tier B), and Surveyor - Photogrammetry Initial Licenses and Renewals </t>
  </si>
  <si>
    <t>Environmental Certification Initial Licenses and Renewals - Bottled Water Class Operator, Wastewater treatment operator biological Class D, Wastewater treatment operator physical/chemical Class B, Wastewater treatment operator physical/chemical Class C, Wastewater treatment operator physical/chemical Class D, Wastewater treatment operator, biological Class A, Wastewater treatment operator, biological Class B, Wastewater treatment operator, biological Class C, Wastewater treatment operator, biological trainee, Wastewater treatment operator, physical/chemical Class A, Wastewater treatment operator, physical/chemical trainee, Water distribution system operator Class A, Water distribution system operator Class B, Water distribution system operator Class C, Water distribution system operator Class D, Water distribution system trainee, Water treatment operator Class E, Water treatment operator trainee, Water treatment operator, Class A, Water treatment operator, Class B, Water treatment operator, Class C, Water treatment operator, Class D, Well Driller Borer (non-environmental), Well Driller Class A (can do all three subclassifications), Well Driller, Coastal Class B, Well Driller, Coastal Class C, Well Driller, Coastal Class D, Well Driller, Environmental Class B, Well Driller, Environmental Class C, Well Driller, Environmental Class D, Well Driller, Rock Class B, Well Driller, Rock Class C, and Well Driller, Rock Class D</t>
  </si>
  <si>
    <t>Advanced Practice Registered Nurse with Prescription Privileges, Nurse Anesthetist, Nurse Midwife, Nurse Practitioner, Nurse Specialist - Clinical, Nurse - Licensed Practical, and Nurse - Registered Initial Licenses and Renewal Licenses</t>
  </si>
  <si>
    <t>Pharmacist, Pharmacy Intern, Pharmacy Technician - Certified, and Pharmacy Technician - Registered Initial Licenses and Renewals</t>
  </si>
  <si>
    <t xml:space="preserve">Physical Therapist and Physical Therapy Assistant Initial Licenses and Renewals </t>
  </si>
  <si>
    <t>Apprentice Pilot, First Short Branch Pilot, Fourth Short Branch Pilot, Harbor (full branch) Pilot, and Second Short Branch Pilot -Third Short Branch Pilot Initial Licenses and Renewals</t>
  </si>
  <si>
    <t>Appraiser - Apprentice, Appraiser - Certified General, Appraiser - Licensed, Appraiser - Mass, General Appraiser - Certified Mass, Residential Appraiser -Certified Mass, Residential Appraiser - Mass Initial Licenses and Renewal Licenses</t>
  </si>
  <si>
    <t>Geologist and Geologist-In-training Initial Licenses and Renewal Licenses</t>
  </si>
  <si>
    <t>Residential Home Builder, Residential Home Inspector, Certificate of Authorization, Residential Builder, Specialty Contractor - Residential HVAC Heating and Air Conditioning installers and repairers, Residential Stucco Installer, Residential Carpenter, Residential Drywall Installer Contractor, Residential Electrician, Residential Floor Covering Installer, Residential Insulation Installer, Residential Mason, Residential Painter/Wallpaperer, Residential Plumber, Residential Roofer, Residential Vinyl/Aluminum Siding Installer Initial Licenses, Reinstatements, and Renewals Builder, Residential Home Inspector, Residential Insulation Installer, Residential Mason, Residential Painter/Wallpaperer, Residential Plumber, Residential Roofer, and Residential Vinyl/Aluminum Siding Installer Initial Licenses and Renewals</t>
  </si>
  <si>
    <t>Audiology Intern, Speech-Language Pathologist, Speech-Language Pathology Assistant, and Speech-Language Pathology Intern Initial Licenses and Renewal Licenses</t>
  </si>
  <si>
    <t xml:space="preserve">Veterinarian, Veterinary Technician, and Veterinarian Trainee (temporary license for clinical experience) Initial Licenses and Renewal Licenses </t>
  </si>
  <si>
    <t xml:space="preserve">DSS foster home fire safety and lead inspections, DDSN facility inspections, and State Building Inspections </t>
  </si>
  <si>
    <t>Closing Conference and inspection/investigation citation</t>
  </si>
  <si>
    <t>Youth Safety Program (OSHA 10 classes and Safety Awareness classes)</t>
  </si>
  <si>
    <t>Compliance Assistance (interpretive letters, technical assistance, guidance documents and custom industry information)</t>
  </si>
  <si>
    <t>Risk of physical harm and loss of life.</t>
  </si>
  <si>
    <t xml:space="preserve">Risk of physical harm and loss of life. </t>
  </si>
  <si>
    <t>Unlicensed or unprofessional practice may expose clients to financial risks in business transactions.</t>
  </si>
  <si>
    <t>Unlicensed or unprofessional practice may expose clients to unsanitary conditions and biological hazards.</t>
  </si>
  <si>
    <t>Unlicensed or unprofessional practice may expose the public to the risk of damage to property or  bodily harm.</t>
  </si>
  <si>
    <t>Unlicensed or unprofessional practice may result in bodily harm to patients.</t>
  </si>
  <si>
    <t>Unlicensed or unprofessional practice may expose the public to risk of personal injury or loss of life.</t>
  </si>
  <si>
    <t>Unlicensed or unprofessional practice may expose the public to environmental hazards, property damage and personal injury.  Financial harm and/or fraud.</t>
  </si>
  <si>
    <t>Significant loss of life and/or property, including loss of life of emergency responders.</t>
  </si>
  <si>
    <t>Loss of life and/or property.</t>
  </si>
  <si>
    <t>Decrease in number of volunteer firefighters in SC communities.</t>
  </si>
  <si>
    <t>Non-qualified firefighters and/or firefighters with a significant criminal history (including arson) serving our communities.</t>
  </si>
  <si>
    <t>Lack of transparency will diminish public confidence in the professions and occupations.</t>
  </si>
  <si>
    <t>Employee illness, injury and/or death.</t>
  </si>
  <si>
    <t xml:space="preserve">1. Maintain statutory and regulatory authority.
</t>
  </si>
  <si>
    <t>Maintain statutory and regulatory authority.</t>
  </si>
  <si>
    <t xml:space="preserve">Agency Permits/Certificates (Elevator - new installation and alteration permits and certificates of operation and Amusement Device Permits) </t>
  </si>
  <si>
    <t xml:space="preserve">Athletics- Announcer, Athletics - Judge, Athletics - Manager, Athletics - Matchmaker, Mixed martial arts contestant - amateur, Mixed martial arts contestant - professional, Off the street boxer, Professional boxer, Professional kick boxer, Promoter, Promoter's representative, Referee, Second, Timekeeper, Trainer and Wrestler Initial Licenses and Renewals </t>
  </si>
  <si>
    <t xml:space="preserve">Social Worker - Baccalaureate, Social Worker - Clinical Practice Supervisor, Social Worker -Independent Advanced Practice, Social Worker - Independent Clinical Practice, Social Worker - Independent Advanced Practice Supervisor, Social Worker -Masters Initial Licenses and Renewal Licenses </t>
  </si>
  <si>
    <t>Contractors - Concrete Contractor - Primary Qualifying Party, Construction Manager - General, Construction Manager - Mechanical, Electrical Mechanical Contractor - Primary Qualifying Party, Fire Alarm Contractor - Primary Qualifying Agent, Fire Alarm Contractor r - Registered Employee, Fire Sprinkler Contractor - Primary Qualifying Party, General Roofing Contractor -  Primary Qualifying Party, Glass &amp; Glazing Contractor - Primary Qualifying Party, Heating Mechanical Contractor - Primary Qualifying Party, Highway Asphalt Paving Contractor - Primary Qualifying Party, Highway Bridges Contractor - Primary Qualifying Party, Highway Concrete Paving Contractor - Primary Qualifying Party, Highway General Contractor - Primary Qualifying Party, Highway Grading Contractor - Primary Qualifying Party, Highway incidental Contractor, Primary Qualifying Party, Inspector - Commercial, Interior Renovation Contractor - Primary Qualifying Party, Lighting Protection Systems Mechanical Contractor - Primary Qualifying Party, Marine Contractor, - Primary Qualifying Party, Masonry Contractor, Primary Qualifying Party, Packaged Heating and Cooling Equipment Contractor - Primary Qualifying Party, Pipelines Contractor - Primary Qualifying Party, Plumbing Mechanical Contractor, Primary Qualifying Party, Pre-Engineered Metal Buildings Contractor -  Primary Qualifying Party, Pressure and Process Piping Mechanical Contractor - Primary Qualifying Party, Public Utility Electrical Contractor- Primary Qualifying Party, Public Utility General Contractor- Primary Qualifying Party, Railroad Lines Contractor- Primary Qualifying Party, Refrigeration Mechanical Contractor -Primary Qualifying Party, Specialty Roofing Contractor- Primary Qualifying Party, Structural Framing Contractor-Primary Qualifying Party, Structural Shapes Contractor- Primary Qualifying Party, Swimming Pools Contractor-Primary Qualifying Party, Water and Sewer Lines General Contractor- Primary Qualifying Party, Water and Sewer Plants Contractor -Primary Qualifying Party</t>
  </si>
  <si>
    <t>Allows pharmacists to dispense Naloxone pursuant to a written joint protocol issued by the South Carolina Board of Medical Examiners and the South Carolina Board of Pharmacy.  That protocol allows pharmacists to register as voluntary participants via the www.naloxonesavessc.org website, which was created by and is maintained by LLR.</t>
  </si>
  <si>
    <t xml:space="preserve">Fire and Life Safety Regulations establish the codes and standards for fire prevention and life safety for construction, occupancy and use of buildings other than one or two family dwellings, authorize the State Fire Marshal to investigate complaints for violations of such regulations, and to seek injunctive relief for violations; authorizes the State Fire Marshal to declare buildings unsafe and order evacuation; authorizes the State Fire Marshal to accept alternative methods of compliance; provides for incident reporting to the State Fire Marshal; and provides for State Fire Marshal review of construction documents and shop drawings of fire sprinkler systems, LP Gas systems, hydrogen facilities, and facilities that the State Fire Marshal is contractually obligated to review. </t>
  </si>
  <si>
    <t xml:space="preserve"> Members of the public, Fire sprinkler contractors </t>
  </si>
  <si>
    <t>Portable Fire Extinguishers and Fixed Fire Extinguishing Systems regulations regulate the leasing, renting, reselling, servicing and testing of portable fire extinguishers and installation, testing and servicing of fixed fire extinguishing systems; and establish the State Fire Marshal's mandatory licensing and permitting requirements of individuals and firms; provide for the investigation of complaints against licensed persons or permit holders, and the imposition of fines, administrative sanctions or suspension or revocation of licenses and permits.</t>
  </si>
  <si>
    <t xml:space="preserve">licensees </t>
  </si>
  <si>
    <t>Requires the State Fire Marshal to certify designated personnel of the  State Engineer's Office, after completing training, to exercise the powers and jurisdictional authority of the State Fire Marshal for state buildings</t>
  </si>
  <si>
    <t>Requires a representative of the State Fire Marshal in conjunction with the Jail and Prison Inspection Division of the Department of Corrections to annually inspect jails and prisons for fire safety, and to prepare a written report.</t>
  </si>
  <si>
    <t>Directs the Department of Insurance to impose a tax of thirty-five one-hundredths percent on fire insurance companies for capital improvements to the State Fire Academy.</t>
  </si>
  <si>
    <t>Chairmen of the House and Senate LCI Committees</t>
  </si>
  <si>
    <t>Proviso 81.2 (LLR:  Real Estate -Special Account), 2017-2018 S.C. Appropriations Act, Part 1B.</t>
  </si>
  <si>
    <t>Proviso 81.3 (LLR: POLA - Ten Percent, Other Funds), 2017-2018  S.C. Appropriations Act, Part  1B.</t>
  </si>
  <si>
    <t>Proviso 81.4 (LLR: Fire Marshal Fallen Firefighters Memorial),  2017-2018  S.C. Appropriations Act, Part  1B.</t>
  </si>
  <si>
    <t>Proviso 81.5 (LLR: Firefighter Mobilization Project),  2017-2018  S.C. Appropriations Act, Part  1B.</t>
  </si>
  <si>
    <t xml:space="preserve">Proviso  81.6 (LLR: Match for Federal Funds), 2017-2018  S.C. Appropriations Act, Part  1B. </t>
  </si>
  <si>
    <t>Proviso  81.7 (LLR: Flexibility),  2017-2018  S.C. Appropriations Act, Part  1B.</t>
  </si>
  <si>
    <t xml:space="preserve">Proviso 81.8 (LLR: Immigration Bill Funding Report),  2017-2018  S.C. Appropriations Act, Part  1B. </t>
  </si>
  <si>
    <t>President Pro Tempore of the Senate, Chairman of the Senate Finance Committee, Chairman of the Senate Finance Natural Resources and Economic Development Subcommittee, the Speaker of the House of Representatives, the Chairman of the House Ways and Means Committee, and the Chairman of the House Ways and Means Transportation and Regulatory Subcommittee</t>
  </si>
  <si>
    <t xml:space="preserve">Proviso  81.9 (LLR: Authorized Reimbursement),  2017-2018  S.C. Appropriations Act, Part  1B. </t>
  </si>
  <si>
    <t xml:space="preserve">Proviso  81.10 (LLR: Illegal Immigration Hotline Assistance),  2017-2018  S.C. Appropriations Act, Part  1B. </t>
  </si>
  <si>
    <t xml:space="preserve">Proviso  81.11 (LLR: Board of Pharmacy),  2017-2018  S.C. Appropriations Act, Part  1B. </t>
  </si>
  <si>
    <t xml:space="preserve">Proviso  81.12 (LLR:  Office of State Fire Marshal-Clothing),  2017-2018  S.C. Appropriations Act, Part  1B. </t>
  </si>
  <si>
    <t xml:space="preserve">Proviso  81.13 (LLR: Amusement Park Rides),  2017-2018  S.C. Appropriations Act, Part  1B. </t>
  </si>
  <si>
    <t>Auctioneers Practice Act. Creates the Auctioneers Commission; directs licensing of auctioneers and auction firms; provides for complaints against and discipline of licensed auctioneers and auction firms; establishes obligations of auctioneers, including trust or escrow accounts; creates the Auctioneer Recovery Fund administered by the Commission; and prohibits municipal licensing of auctioneers.</t>
  </si>
  <si>
    <t>Barber Practice Act. Creates the Board of Barber Examiners; directs the licensing of barbers and related occupations, including but not limited to hair braiders; provides for the inspection and registration of barber shops and barber schools and colleges; and provides for investigation of complaints against and discipline of individual licensees, shops and schools.</t>
  </si>
  <si>
    <t>Massage/Bodywork Practice Act. Creates the Panel for Massage/Bodywork to advise LLR, to conduct hearings on licensure decisions for massage/bodywork therapists, to mediate consumer complaints, to conduct disciplinary hearings and to discipline licensed individuals. LLR issues the licenses, promulgates regulations and investigates complaints.</t>
  </si>
  <si>
    <t>Psychology Board Regulations provide details of the educational qualifications and exam requirements for licensure and of the  documentation and procedure requirements for application for licensure; provide for license renewal and consequences of expiration; adopt a code of ethics, address advertising,  provide guidelines for employing and supervising unlicensed persons; and address continuing education, election of officers and board meetings and procedures.</t>
  </si>
  <si>
    <t>Pilotage Practice Act.  Divides jurisdiction for the regulation of pilotage for the bars and harbors of South Carolina between the South Carolina Commissioners of Pilotage for the Lower Costal Areas and the Commissioners of Pilotage for the Upper Coastal area; establishes pilot requirements for vessels entering ports; provides for the licensing of various categories of harbor and bar pilots and apprenticeships for the Georgetown and Charleston ports;  provides for investigation of marine disasters or complaints that a licensee is unfit to practice; provides for discipline of licensees; requires the Commissioners approval of all boats used in pilotage for the port and harbor of Charleston and subjects them to inspection; requires the Commissioners to fix pilot fees and charges for each port and for pilots to print and make available the published schedule of rates and fees; provides for return of  pilots piloting vessels that are exiting port; imposes restrictions on serving enemy vessels; and imposes a $5,000 damages cap.</t>
  </si>
  <si>
    <t>Division of Fire and Life Safety -Office of the State Fire Marshal</t>
  </si>
  <si>
    <t xml:space="preserve"> Division of Fire and Life Safety - Office of State Fire Marshal</t>
  </si>
  <si>
    <t>Division of Fire and Life Safety -Emergency Response Task Force</t>
  </si>
  <si>
    <t>Division of Fire and Life Safety- Office of State Fire Marshal</t>
  </si>
  <si>
    <t xml:space="preserve">Division of Occupational Safety and Health Administration </t>
  </si>
  <si>
    <t xml:space="preserve">                                                     Yes- Other service or product </t>
  </si>
  <si>
    <t xml:space="preserve">S.C. Code of Reg. Chapter 20, Section 9 Athletic Commission  Representative Duties Regulation;
S.C. Code Ann. §40-7-330 Inspection of barbershop or barber schools; 40-8-110 Care and maintenance trust funds; merchandise accounts; financial reports; 40-19-80 Inspector to be hired by board; qualifications (funeral);
40-13-290 Requirements and restrictions applicable to schools and salons;  inspections (cosmetology);
40-15-410 Requirements for sedation permit; 40-19-270 Permit for funeral establishment . . . Inspection of premises;
S.C. Code Reg. Chapter 57, Section 15 Funeral Services Inspection Guidelines Regulation;
40-29-310 Board entry for purpose of inspection (manufactured housing) 40-43-60 Chief drug inspector; staff inspectors;
40-57-350 Real estate brokerage firm duties to client; 41-14-40 Boiler registration; special permit for boiler of special design or construction </t>
  </si>
  <si>
    <t>II.C.Fire Academy                               II.D.State Fire Marshal</t>
  </si>
  <si>
    <t>II.F. Prof &amp; Occup, II.H. Building Codes</t>
  </si>
  <si>
    <t>II.F. Prof &amp; Occup,  II.H.Building Codes</t>
  </si>
  <si>
    <t>II.F.Prof &amp; Occup, II.H. Building Codes</t>
  </si>
  <si>
    <t>II.F.Prof &amp; Occup</t>
  </si>
  <si>
    <t>II.F. Prof &amp; Occup</t>
  </si>
  <si>
    <t>II.A.OSHA Voluntary,                   II.B. Occupational</t>
  </si>
  <si>
    <t>I.A.Administration</t>
  </si>
  <si>
    <t>I.A. Administration</t>
  </si>
  <si>
    <t>II.E. Elevators</t>
  </si>
  <si>
    <t xml:space="preserve">Objective 1.1.4 - Ensure the public’s fire and life safety by conducting plan reviews for fire sprinkler systems, building construction, L.P. gas systems, aboveground storage of flammable and combustible liquids, and hydrogen fueling systems for fire code compliance.  </t>
  </si>
  <si>
    <t>* 8.08 FTEs were converted from Temp positions in February 2018, per Proviso 117.14.</t>
  </si>
  <si>
    <t>Available FTEs:            415.97
Filled FTEs:  362
Temp/Grant: 0
Time Limited: 0
Part Time: 0</t>
  </si>
  <si>
    <t>Available FTEs:      428.97/ *434.05
Filled FTEs: 379
Temp/Grant: 0
Time Limited: 0
Part Time: 0</t>
  </si>
  <si>
    <t>N /A</t>
  </si>
  <si>
    <t>Number of OSHA FOIA Requests</t>
  </si>
  <si>
    <t>Create, schedule and conduct interviewing technique class</t>
  </si>
  <si>
    <t>Jan 1-Dec 31</t>
  </si>
  <si>
    <t>Currenty Using</t>
  </si>
  <si>
    <t xml:space="preserve">Currently using </t>
  </si>
  <si>
    <t>Number of E-Verify audits conducted</t>
  </si>
  <si>
    <t>Percentage of employers E-Verifying new hires</t>
  </si>
  <si>
    <t>Small business E-Verify compliance rate</t>
  </si>
  <si>
    <t>DME</t>
  </si>
  <si>
    <t>Number of Registered Immigration Assistance Providers</t>
  </si>
  <si>
    <t>Number of aliens verified through SAVE</t>
  </si>
  <si>
    <t xml:space="preserve">January - Dec </t>
  </si>
  <si>
    <t>Number of elevators registered in the state</t>
  </si>
  <si>
    <t>Number of elevators inspected</t>
  </si>
  <si>
    <t>Number of elevators with outstanding abatements</t>
  </si>
  <si>
    <t>Number of amusement rides inspected and permitted</t>
  </si>
  <si>
    <t>Number of permits issued for alteration/installation of elevators</t>
  </si>
  <si>
    <t>Creates the Division of Professional and Occupational Licensing and provides that the Boards listed in 40-1-40(B) are to be administered by LLR, but that each regulatory board within LLR is a separate board.</t>
  </si>
  <si>
    <t>Provides that any communications by a board or LLR are privileged; permits respondent to have access to the charges and evidence filed; and provides that final orders are public information.</t>
  </si>
  <si>
    <t>Building Code Council</t>
  </si>
  <si>
    <t>Physical Therapy Regulations address board meetings and election of board officers, details on licensing requirements, reactivation of licenses, continuing education; and denial of a license or imposition of a sanction for payment of fees with a bad check.</t>
  </si>
  <si>
    <t>Medical Examiners regulations provide details regarding disciplinary procedures, and procedures for safeguarding patient records of deceased, missing or incapacitated physicians; sets forth reinstatement procedures, requirements regarding licensing exams, procedures for election of board members, requirements  for office-based surgery, and criteria for physician supervision of advanced practice nurses. Additional regulations govern licensure, continuing education requirements, adoption of medical ethics, and mandatory reporting of misconduct for respiratory care practitioners (RCPs) and competency requirements for training of non RCPs providing respiratory care.</t>
  </si>
  <si>
    <t>Gwen Thomas (responsible more than 3 years)</t>
  </si>
  <si>
    <t>Kristal Davis (responsible less than 3 years)</t>
  </si>
  <si>
    <t>Felecia Busby (responsible more than 3 years)</t>
  </si>
  <si>
    <t>Anthony Wilks (responsible more than 3 years)</t>
  </si>
  <si>
    <t>Harvey Jessup (responsible more than 3 years)</t>
  </si>
  <si>
    <t>Sharon Dumit (responsible more than 3 years)</t>
  </si>
  <si>
    <t>Deidre Laws (responsible less than 3 years)</t>
  </si>
  <si>
    <t>Farrar Stewart (responsible for less than 3 years)</t>
  </si>
  <si>
    <t>Private Business, Individuals</t>
  </si>
  <si>
    <t>Private Business, State Government, Local Government, Individuals</t>
  </si>
  <si>
    <t>Private Business,  Individuals</t>
  </si>
  <si>
    <t>Services and health care are provided by properly qualified licensees.</t>
  </si>
  <si>
    <t>Licensees have maintained requisite qualifications for licensure.</t>
  </si>
  <si>
    <t>Allows the professional boards to regulate their profession in a public setting and gives the public the ability to attend a meeting.</t>
  </si>
  <si>
    <t>Public and licensees to receive information, legislative changes, and professional trends within the profession or occupation.</t>
  </si>
  <si>
    <t>Public has confidence that licensees have maintained the requiste education requirements needed for  licensure.</t>
  </si>
  <si>
    <t>Public has confidence that regulated facilities meet the requisite health, safety and sanitation requirements for operation.</t>
  </si>
  <si>
    <t>Public has confidence that regulated facilities are routinely inspected to ensure continued compliance with statutory requirements and professional standards.</t>
  </si>
  <si>
    <t>Public concerns about licensees' qualifications to practice are efficiently and effectively addressed.</t>
  </si>
  <si>
    <t>Public has confidence that initial complaints are sufficiently screened to determine whether further investigation is warranted.</t>
  </si>
  <si>
    <t>Public can be confident that complaints of alleged practice act violations will be thoroughly and timely investigated.</t>
  </si>
  <si>
    <t>Public is protected because respondents are appropirately disciplined by the boards and commissions.</t>
  </si>
  <si>
    <t>Decrease workplace injury and illness.</t>
  </si>
  <si>
    <t>Educated employers and workforce; decrease workplace injuries and illnesses.</t>
  </si>
  <si>
    <t>Efficient Inspections and investigations from trained inspectors and compliance officers.</t>
  </si>
  <si>
    <t>Decrease in workplace retaliation.</t>
  </si>
  <si>
    <t>Public perceives that agency is responsive and transparent.</t>
  </si>
  <si>
    <t>Public has confidence that claims are sufficiently screened to determine whether further investigation is warranted.</t>
  </si>
  <si>
    <t>Public can be confident that claims of alleged wage and labor law violations will be thoroughly and timely investigated.</t>
  </si>
  <si>
    <t>Public can have confidence that Payment of Wages Act and Child Labor Laws are appropriately enforced.</t>
  </si>
  <si>
    <t>Regulatory boards and commissions render decisions consistent with state law.</t>
  </si>
  <si>
    <t xml:space="preserve"> Agency engages in compliant regulatory conduct. </t>
  </si>
  <si>
    <t>Increase controls and monitoring surrounding data the Agency is secure.</t>
  </si>
  <si>
    <t>Individuals, State Government</t>
  </si>
  <si>
    <t>S.C. Code Ann. §23-9-60 Duty to require conformance with minimum fire prevention and protection standards; S.C. Code of Reg. Chapter 71, Section 8305.3 Licensing and Permitting Fees;
Chapter 71, Section 8305.4 Qualifications of Operators</t>
  </si>
  <si>
    <t xml:space="preserve">Maintain statutory and regulatory authority.
</t>
  </si>
  <si>
    <t>Support Elevator and Amusement Ride Audits.</t>
  </si>
  <si>
    <t xml:space="preserve">Maintain statutory and regulatory authority.        </t>
  </si>
  <si>
    <t xml:space="preserve">Maintain registration requirement. </t>
  </si>
  <si>
    <t xml:space="preserve">Maintain support of e-verification compliance audits. </t>
  </si>
  <si>
    <t xml:space="preserve">1. Allow peer review panel to establish annual funding priorities for the grant program.
2. Allow OSFM to utilize 3% of the available grant funds, to cover the costs associated with the administration of the program.
</t>
  </si>
  <si>
    <t xml:space="preserve">Maintain support of contractual relationship between agencies. </t>
  </si>
  <si>
    <t>Better define the enforcement authority of the State Fire Marshal, to include the ability to issue fines for certain violations.</t>
  </si>
  <si>
    <t>Broaden the scope of Title 23, Chapter 9, Article 2 to include fire cause and origin investigation for fires not caused by arson.</t>
  </si>
  <si>
    <t xml:space="preserve">Define minimum training standards for firefighters, fire chiefs, and other rescue personnel, based on the activities each group is expected to perform.
</t>
  </si>
  <si>
    <t xml:space="preserve">Maintain public access to registry of licensees with limited information.
</t>
  </si>
  <si>
    <t>Maintain statutory authority.</t>
  </si>
  <si>
    <t xml:space="preserve">Support LLR's commitment to combat the opioid epidemic. </t>
  </si>
  <si>
    <t xml:space="preserve">Continued support of OSHA mission.
</t>
  </si>
  <si>
    <t>1. Maintain current statutory authority.
2. Continued support of OSHA mission.</t>
  </si>
  <si>
    <t>Continued support of OSHA mission.</t>
  </si>
  <si>
    <t>Department of Commerce</t>
  </si>
  <si>
    <t xml:space="preserve">1. Maintain statutory and regulatory authority.                   2. Move Board to an agency where it could promote the industry.  Unlike other professions under agency umbrella, regulation of Athletics protects the fighter as opposed to the general public, and its revenue is based upon the number of events that occur in South Carolina.  This board may be better served if housed within an agency that would allow it to be actively promoting fights to receive revenue.
</t>
  </si>
  <si>
    <t>Workers Comp</t>
  </si>
  <si>
    <t>DEW</t>
  </si>
  <si>
    <t>Maintain current statutory authority.</t>
  </si>
  <si>
    <t>Department of Revenue, DSS</t>
  </si>
  <si>
    <t>SC Technical College System; Law Enforcement Training Council</t>
  </si>
  <si>
    <t>Department of Insurance, DSS, DDSN</t>
  </si>
  <si>
    <t>Department of Insurance, SLED, DPS</t>
  </si>
  <si>
    <t>Adjutant General's Office</t>
  </si>
  <si>
    <t>DAODAS, DHEC, Department of Mental Health</t>
  </si>
  <si>
    <t>Workers' Compensation Commission</t>
  </si>
  <si>
    <t>Department of Education</t>
  </si>
  <si>
    <t>Department of Commerce, DEW</t>
  </si>
  <si>
    <t>Department of Archives and History</t>
  </si>
  <si>
    <t>Department of Administration</t>
  </si>
  <si>
    <t>DEW, Workers' Compensation Commission</t>
  </si>
  <si>
    <t>DEW, Workers' Compensation Commission, Department of Commerce</t>
  </si>
  <si>
    <t>Workers' Compensation Commission, SCHAC</t>
  </si>
  <si>
    <t>DPS, DHEC, SLED</t>
  </si>
  <si>
    <t>Department of Insurance, DPS, SLED</t>
  </si>
  <si>
    <t>Attorney General's Office, DHEC, SLED</t>
  </si>
  <si>
    <t>Number of classes completed</t>
  </si>
  <si>
    <t>Number of counties with FF programs at high schools/CTCs
Instructor and customer survey response rate
Number of students taught
Student completion rates
Number of classes completed
Number of executive leadership/planning programs
Report issued</t>
  </si>
  <si>
    <t>Deidre Laws (responsible more than 3 years)</t>
  </si>
  <si>
    <t>James Knight (responsible more than 3 years)</t>
  </si>
  <si>
    <t>Duane Scott (responsible more than 3 years)</t>
  </si>
  <si>
    <t>Duane Scott (responsible more than 3  years)</t>
  </si>
  <si>
    <t>Proviso 118.14(B)(42)(a-c)</t>
  </si>
  <si>
    <t>Section 40-1-180 fines and costs</t>
  </si>
  <si>
    <r>
      <rPr>
        <b/>
        <u/>
        <sz val="10"/>
        <color theme="1"/>
        <rFont val="Calibri Light"/>
        <family val="2"/>
        <scheme val="major"/>
      </rPr>
      <t>Mission</t>
    </r>
    <r>
      <rPr>
        <sz val="10"/>
        <color theme="1"/>
        <rFont val="Calibri Light"/>
        <family val="2"/>
        <scheme val="major"/>
      </rPr>
      <t xml:space="preserve">:  The mission of the Department of Labor, Licensing and Regulation (LLR) is to promote the health, safety and economic well-being of the public through regulation, licensing, enforcement, training and education.
</t>
    </r>
    <r>
      <rPr>
        <u/>
        <sz val="10"/>
        <color theme="1"/>
        <rFont val="Calibri Light"/>
        <family val="2"/>
        <scheme val="major"/>
      </rPr>
      <t>Legal Basis</t>
    </r>
    <r>
      <rPr>
        <sz val="10"/>
        <color theme="1"/>
        <rFont val="Calibri Light"/>
        <family val="2"/>
        <scheme val="major"/>
      </rPr>
      <t xml:space="preserve">:  S.C. Code Ann. </t>
    </r>
    <r>
      <rPr>
        <sz val="10"/>
        <color theme="1"/>
        <rFont val="Calibri"/>
        <family val="2"/>
      </rPr>
      <t>§§</t>
    </r>
    <r>
      <rPr>
        <sz val="10"/>
        <color theme="1"/>
        <rFont val="Calibri Light"/>
        <family val="2"/>
      </rPr>
      <t xml:space="preserve"> 23-10-10, 40-1-40, 41-15-80</t>
    </r>
  </si>
  <si>
    <r>
      <rPr>
        <b/>
        <u/>
        <sz val="10"/>
        <color theme="1"/>
        <rFont val="Calibri Light"/>
        <family val="2"/>
        <scheme val="major"/>
      </rPr>
      <t>Vision</t>
    </r>
    <r>
      <rPr>
        <sz val="10"/>
        <color theme="1"/>
        <rFont val="Calibri Light"/>
        <family val="2"/>
        <scheme val="major"/>
      </rPr>
      <t xml:space="preserve">: LLR will provide responsible regulatory oversight.  We will work with licensees, boards, associations, and citizens to achieve the shared goals and interests of our state.  LLR will cultivate an atmosphere of trust, integrity, innovation, compliance and accountability with our partners, leading to a better future for citizens. Through the Agency’s work, LLR will reduce injuries in the workplace, fire-related injuries and fatalities, and licensee misconduct through education and enforcement.
</t>
    </r>
    <r>
      <rPr>
        <u/>
        <sz val="10"/>
        <color theme="1"/>
        <rFont val="Calibri Light"/>
        <family val="2"/>
        <scheme val="major"/>
      </rPr>
      <t>Legal Basis</t>
    </r>
    <r>
      <rPr>
        <sz val="10"/>
        <color theme="1"/>
        <rFont val="Calibri Light"/>
        <family val="2"/>
        <scheme val="major"/>
      </rPr>
      <t>:  S.C. Code Ann. §§ 23-10-10, 40-1-40, 41-15-80</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</si>
</sst>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409]mmmm\ d\,\ yyyy;@"/>
    <numFmt numFmtId="166" formatCode="0.0%"/>
  </numFmts>
  <fonts count="24"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sz val="10"/>
      <color theme="1"/>
      <name val="Arial"/>
      <family val="2"/>
    </font>
    <font>
      <u/>
      <sz val="10"/>
      <name val="Calibri Light"/>
      <family val="2"/>
      <scheme val="major"/>
    </font>
    <font>
      <b/>
      <u val="singleAccounting"/>
      <sz val="10"/>
      <name val="Calibri Light"/>
      <family val="2"/>
      <scheme val="major"/>
    </font>
    <font>
      <sz val="10"/>
      <color rgb="FF000000"/>
      <name val="Calibri Light"/>
      <family val="2"/>
    </font>
    <font>
      <sz val="10"/>
      <color rgb="FF000000"/>
      <name val="Calibri Light"/>
      <family val="2"/>
      <scheme val="major"/>
    </font>
    <font>
      <sz val="10"/>
      <color rgb="FF252525"/>
      <name val="Calibri Light"/>
      <family val="2"/>
      <scheme val="major"/>
    </font>
    <font>
      <sz val="8"/>
      <name val="Calibri Light"/>
      <family val="2"/>
      <scheme val="major"/>
    </font>
    <font>
      <sz val="10"/>
      <color theme="1"/>
      <name val="Calibri Light"/>
      <family val="2"/>
    </font>
    <font>
      <sz val="10"/>
      <color rgb="FF000000"/>
      <name val="Calibri"/>
      <family val="2"/>
    </font>
    <font>
      <sz val="9"/>
      <name val="Calibri Light"/>
      <family val="2"/>
      <scheme val="major"/>
    </font>
    <font>
      <sz val="10"/>
      <color theme="1"/>
      <name val="Calibri"/>
      <family val="2"/>
    </font>
    <font>
      <sz val="6"/>
      <name val="Calibri Light"/>
      <family val="2"/>
      <scheme val="maj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3499862666707357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9" fontId="12" fillId="0" borderId="0" applyFont="0" applyFill="0" applyBorder="0" applyAlignment="0" applyProtection="0"/>
    <xf numFmtId="43" fontId="12" fillId="0" borderId="0" applyFont="0" applyFill="0" applyBorder="0" applyAlignment="0" applyProtection="0"/>
    <xf numFmtId="0" fontId="12" fillId="0" borderId="0"/>
    <xf numFmtId="44" fontId="12" fillId="0" borderId="0" applyFont="0" applyFill="0" applyBorder="0" applyAlignment="0" applyProtection="0"/>
  </cellStyleXfs>
  <cellXfs count="381">
    <xf numFmtId="0" fontId="0" fillId="0" borderId="0" xfId="0"/>
    <xf numFmtId="0" fontId="5" fillId="0" borderId="1" xfId="0" applyFont="1" applyBorder="1" applyAlignment="1">
      <alignment horizontal="left" vertical="top" wrapText="1"/>
    </xf>
    <xf numFmtId="0" fontId="7" fillId="0" borderId="0" xfId="0" applyFont="1" applyFill="1" applyBorder="1" applyAlignment="1">
      <alignment horizontal="left" vertical="top" wrapText="1"/>
    </xf>
    <xf numFmtId="0" fontId="5" fillId="2"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2"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4" borderId="6" xfId="0" applyFont="1" applyFill="1" applyBorder="1" applyAlignment="1">
      <alignment horizontal="left" vertical="top" wrapText="1"/>
    </xf>
    <xf numFmtId="0" fontId="5" fillId="0" borderId="0" xfId="0" applyFont="1" applyBorder="1" applyAlignment="1">
      <alignment horizontal="left" vertical="top" wrapText="1"/>
    </xf>
    <xf numFmtId="0" fontId="8" fillId="0" borderId="1" xfId="0" applyFont="1" applyFill="1" applyBorder="1" applyAlignment="1">
      <alignment horizontal="left" vertical="top" wrapText="1"/>
    </xf>
    <xf numFmtId="0" fontId="8" fillId="0" borderId="0" xfId="0" applyFont="1" applyAlignment="1">
      <alignment horizontal="left" vertical="top" wrapText="1"/>
    </xf>
    <xf numFmtId="0" fontId="7" fillId="0" borderId="34" xfId="0" applyFont="1" applyFill="1" applyBorder="1" applyAlignment="1">
      <alignment horizontal="left" vertical="top" wrapText="1"/>
    </xf>
    <xf numFmtId="0" fontId="8" fillId="0" borderId="34" xfId="0" applyFont="1" applyFill="1" applyBorder="1" applyAlignment="1">
      <alignment horizontal="left" vertical="top" wrapText="1"/>
    </xf>
    <xf numFmtId="0" fontId="7" fillId="0" borderId="25" xfId="0" applyFont="1" applyFill="1" applyBorder="1" applyAlignment="1">
      <alignment horizontal="left" vertical="top" wrapText="1"/>
    </xf>
    <xf numFmtId="0" fontId="7" fillId="5" borderId="34" xfId="0" applyFont="1" applyFill="1" applyBorder="1" applyAlignment="1">
      <alignment horizontal="left" vertical="top" wrapText="1"/>
    </xf>
    <xf numFmtId="0" fontId="8" fillId="5" borderId="34" xfId="0" applyFont="1" applyFill="1" applyBorder="1" applyAlignment="1">
      <alignment horizontal="left" vertical="top" wrapText="1"/>
    </xf>
    <xf numFmtId="0" fontId="7"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7" fillId="5" borderId="25" xfId="0" applyFont="1" applyFill="1" applyBorder="1" applyAlignment="1">
      <alignment horizontal="left" vertical="top" wrapText="1"/>
    </xf>
    <xf numFmtId="0" fontId="7" fillId="5" borderId="2"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0" xfId="0" applyFont="1" applyFill="1" applyAlignment="1">
      <alignment horizontal="left" vertical="top" wrapText="1"/>
    </xf>
    <xf numFmtId="0" fontId="7" fillId="3" borderId="25" xfId="0" applyFont="1" applyFill="1" applyBorder="1" applyAlignment="1">
      <alignment horizontal="left" vertical="top" wrapText="1"/>
    </xf>
    <xf numFmtId="0" fontId="7" fillId="3" borderId="34" xfId="0" applyFont="1" applyFill="1" applyBorder="1" applyAlignment="1">
      <alignment horizontal="left" vertical="top" wrapText="1"/>
    </xf>
    <xf numFmtId="0" fontId="5" fillId="0" borderId="3" xfId="0" applyFont="1" applyBorder="1" applyAlignment="1">
      <alignment horizontal="left" vertical="top" wrapText="1"/>
    </xf>
    <xf numFmtId="0" fontId="1" fillId="0" borderId="0" xfId="0" applyFont="1" applyAlignment="1">
      <alignment horizontal="left" vertical="top" wrapText="1"/>
    </xf>
    <xf numFmtId="0" fontId="7" fillId="0" borderId="2" xfId="0" applyFont="1" applyFill="1" applyBorder="1" applyAlignment="1">
      <alignment horizontal="left" vertical="top" wrapText="1"/>
    </xf>
    <xf numFmtId="0" fontId="8" fillId="0" borderId="1" xfId="0" applyFont="1" applyFill="1" applyBorder="1" applyAlignment="1">
      <alignment horizontal="center" vertical="top" wrapText="1"/>
    </xf>
    <xf numFmtId="0" fontId="8" fillId="5" borderId="31" xfId="0" applyFont="1" applyFill="1" applyBorder="1" applyAlignment="1">
      <alignment horizontal="left" vertical="top" wrapText="1"/>
    </xf>
    <xf numFmtId="0" fontId="8" fillId="0" borderId="31" xfId="0" applyFont="1" applyFill="1" applyBorder="1" applyAlignment="1">
      <alignment horizontal="left" vertical="top" wrapText="1"/>
    </xf>
    <xf numFmtId="10" fontId="1" fillId="0" borderId="0" xfId="0" applyNumberFormat="1" applyFont="1" applyAlignment="1">
      <alignment horizontal="left" vertical="top" wrapText="1"/>
    </xf>
    <xf numFmtId="0" fontId="7"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10" fontId="7" fillId="2" borderId="2" xfId="0" applyNumberFormat="1" applyFont="1" applyFill="1" applyBorder="1" applyAlignment="1">
      <alignment horizontal="left" vertical="top" wrapText="1"/>
    </xf>
    <xf numFmtId="10" fontId="8" fillId="5" borderId="34" xfId="0" applyNumberFormat="1" applyFont="1" applyFill="1" applyBorder="1" applyAlignment="1">
      <alignment horizontal="left" vertical="top" wrapText="1"/>
    </xf>
    <xf numFmtId="10" fontId="8" fillId="5" borderId="1" xfId="0" applyNumberFormat="1" applyFont="1" applyFill="1" applyBorder="1" applyAlignment="1">
      <alignment horizontal="left" vertical="top" wrapText="1"/>
    </xf>
    <xf numFmtId="10" fontId="8" fillId="5" borderId="25" xfId="0" applyNumberFormat="1" applyFont="1" applyFill="1" applyBorder="1" applyAlignment="1">
      <alignment horizontal="left" vertical="top" wrapText="1"/>
    </xf>
    <xf numFmtId="10" fontId="8" fillId="0" borderId="34" xfId="0" applyNumberFormat="1" applyFont="1" applyFill="1" applyBorder="1" applyAlignment="1">
      <alignment horizontal="left" vertical="top" wrapText="1"/>
    </xf>
    <xf numFmtId="10" fontId="8" fillId="3" borderId="1" xfId="0" applyNumberFormat="1" applyFont="1" applyFill="1" applyBorder="1" applyAlignment="1">
      <alignment horizontal="left" vertical="top" wrapText="1"/>
    </xf>
    <xf numFmtId="10" fontId="8" fillId="3" borderId="25" xfId="0" applyNumberFormat="1" applyFont="1" applyFill="1" applyBorder="1" applyAlignment="1">
      <alignment horizontal="left" vertical="top" wrapText="1"/>
    </xf>
    <xf numFmtId="10" fontId="8" fillId="3" borderId="34" xfId="0" applyNumberFormat="1" applyFont="1" applyFill="1" applyBorder="1" applyAlignment="1">
      <alignment horizontal="left" vertical="top" wrapText="1"/>
    </xf>
    <xf numFmtId="10" fontId="8" fillId="5" borderId="2" xfId="0" applyNumberFormat="1" applyFont="1" applyFill="1" applyBorder="1" applyAlignment="1">
      <alignment horizontal="left" vertical="top" wrapText="1"/>
    </xf>
    <xf numFmtId="10" fontId="8" fillId="0" borderId="2" xfId="0" applyNumberFormat="1" applyFont="1" applyFill="1" applyBorder="1" applyAlignment="1">
      <alignment horizontal="left" vertical="top" wrapText="1"/>
    </xf>
    <xf numFmtId="0" fontId="1" fillId="0" borderId="0" xfId="0" applyFont="1" applyBorder="1" applyAlignment="1">
      <alignment horizontal="left" vertical="top" wrapText="1"/>
    </xf>
    <xf numFmtId="14" fontId="1" fillId="0" borderId="0" xfId="0" applyNumberFormat="1" applyFont="1" applyBorder="1" applyAlignment="1">
      <alignment horizontal="left" vertical="top" wrapText="1"/>
    </xf>
    <xf numFmtId="49" fontId="1" fillId="0" borderId="0" xfId="0" applyNumberFormat="1" applyFont="1" applyBorder="1" applyAlignment="1">
      <alignment horizontal="left" vertical="top" wrapText="1"/>
    </xf>
    <xf numFmtId="0" fontId="8" fillId="0" borderId="5" xfId="0" applyFont="1" applyFill="1" applyBorder="1" applyAlignment="1">
      <alignment horizontal="left" vertical="top" wrapText="1"/>
    </xf>
    <xf numFmtId="0" fontId="10" fillId="4"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1" fillId="0" borderId="0" xfId="0" applyFont="1" applyFill="1" applyBorder="1" applyAlignment="1">
      <alignment horizontal="left" vertical="top" wrapText="1"/>
    </xf>
    <xf numFmtId="0" fontId="5" fillId="2" borderId="1" xfId="0" applyFont="1" applyFill="1" applyBorder="1" applyAlignment="1">
      <alignment horizontal="left" vertical="center" wrapText="1"/>
    </xf>
    <xf numFmtId="0" fontId="1" fillId="0" borderId="0" xfId="0" applyFont="1" applyFill="1" applyAlignment="1">
      <alignment horizontal="left" vertical="top" wrapText="1"/>
    </xf>
    <xf numFmtId="0" fontId="1" fillId="0" borderId="1" xfId="0" applyFont="1" applyBorder="1" applyAlignment="1">
      <alignment horizontal="left" vertical="top" wrapText="1"/>
    </xf>
    <xf numFmtId="0" fontId="7" fillId="3" borderId="0" xfId="0" applyFont="1" applyFill="1" applyBorder="1" applyAlignment="1">
      <alignment horizontal="left" vertical="top" wrapText="1"/>
    </xf>
    <xf numFmtId="10" fontId="8" fillId="3" borderId="0" xfId="0" applyNumberFormat="1" applyFont="1" applyFill="1" applyBorder="1" applyAlignment="1">
      <alignment horizontal="left" vertical="top" wrapText="1"/>
    </xf>
    <xf numFmtId="0" fontId="1" fillId="5" borderId="0" xfId="0" applyFont="1" applyFill="1" applyAlignment="1">
      <alignment horizontal="left" vertical="top" wrapText="1"/>
    </xf>
    <xf numFmtId="0" fontId="1" fillId="0" borderId="42" xfId="0" applyFont="1" applyBorder="1" applyAlignment="1">
      <alignment horizontal="left" vertical="top" wrapText="1"/>
    </xf>
    <xf numFmtId="0" fontId="1" fillId="5" borderId="43" xfId="0" applyFont="1" applyFill="1" applyBorder="1" applyAlignment="1">
      <alignment horizontal="left" vertical="top" wrapText="1"/>
    </xf>
    <xf numFmtId="0" fontId="1" fillId="0" borderId="43" xfId="0" applyFont="1" applyBorder="1" applyAlignment="1">
      <alignment horizontal="left" vertical="top" wrapText="1"/>
    </xf>
    <xf numFmtId="10" fontId="1" fillId="0" borderId="43" xfId="0" applyNumberFormat="1" applyFont="1" applyBorder="1" applyAlignment="1">
      <alignment horizontal="left" vertical="top" wrapText="1"/>
    </xf>
    <xf numFmtId="9" fontId="1" fillId="0" borderId="43" xfId="0" applyNumberFormat="1" applyFont="1" applyBorder="1" applyAlignment="1">
      <alignment horizontal="left" vertical="top" wrapText="1"/>
    </xf>
    <xf numFmtId="0" fontId="8" fillId="3" borderId="0" xfId="0" applyFont="1" applyFill="1" applyBorder="1" applyAlignment="1">
      <alignment horizontal="left" vertical="top" wrapText="1"/>
    </xf>
    <xf numFmtId="0" fontId="1" fillId="0" borderId="1" xfId="0" applyFont="1" applyBorder="1" applyAlignment="1">
      <alignment horizontal="left" vertical="top" wrapText="1"/>
    </xf>
    <xf numFmtId="10" fontId="8" fillId="0" borderId="31" xfId="0" applyNumberFormat="1" applyFont="1" applyFill="1" applyBorder="1" applyAlignment="1">
      <alignment horizontal="left" vertical="top" wrapText="1"/>
    </xf>
    <xf numFmtId="0" fontId="7" fillId="5" borderId="31" xfId="0" applyFont="1" applyFill="1" applyBorder="1" applyAlignment="1">
      <alignment horizontal="left" vertical="top" wrapText="1"/>
    </xf>
    <xf numFmtId="10" fontId="8" fillId="5" borderId="31" xfId="0" applyNumberFormat="1" applyFont="1" applyFill="1" applyBorder="1" applyAlignment="1">
      <alignment horizontal="left" vertical="top" wrapText="1"/>
    </xf>
    <xf numFmtId="10" fontId="1" fillId="0" borderId="43" xfId="0" applyNumberFormat="1" applyFont="1" applyFill="1" applyBorder="1" applyAlignment="1">
      <alignment horizontal="left" vertical="top" wrapText="1"/>
    </xf>
    <xf numFmtId="0" fontId="1" fillId="0" borderId="1" xfId="0" applyFont="1" applyFill="1" applyBorder="1" applyAlignment="1">
      <alignment horizontal="center" vertical="top" wrapText="1"/>
    </xf>
    <xf numFmtId="0" fontId="19" fillId="0" borderId="1" xfId="0" applyFont="1" applyFill="1" applyBorder="1" applyAlignment="1">
      <alignment horizontal="center" vertical="center" wrapText="1"/>
    </xf>
    <xf numFmtId="43" fontId="15" fillId="0" borderId="1" xfId="2"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left" vertical="top" wrapText="1"/>
    </xf>
    <xf numFmtId="0" fontId="8" fillId="0" borderId="2" xfId="0" applyFont="1" applyFill="1" applyBorder="1" applyAlignment="1">
      <alignment horizontal="left" vertical="top" wrapText="1"/>
    </xf>
    <xf numFmtId="0" fontId="15"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21" fillId="0" borderId="1" xfId="0" applyFont="1" applyFill="1" applyBorder="1" applyAlignment="1">
      <alignment horizontal="left" vertical="top" wrapText="1"/>
    </xf>
    <xf numFmtId="9" fontId="1" fillId="0" borderId="1" xfId="0" applyNumberFormat="1" applyFont="1" applyFill="1" applyBorder="1" applyAlignment="1">
      <alignment horizontal="left" vertical="top" wrapText="1"/>
    </xf>
    <xf numFmtId="10" fontId="1" fillId="0" borderId="1" xfId="0" applyNumberFormat="1" applyFont="1" applyFill="1" applyBorder="1" applyAlignment="1">
      <alignment horizontal="left" vertical="top" wrapText="1"/>
    </xf>
    <xf numFmtId="3" fontId="1" fillId="0" borderId="1" xfId="0" applyNumberFormat="1" applyFont="1" applyFill="1" applyBorder="1" applyAlignment="1">
      <alignment horizontal="left" vertical="top" wrapText="1"/>
    </xf>
    <xf numFmtId="0" fontId="1" fillId="3" borderId="3" xfId="0" applyFont="1" applyFill="1" applyBorder="1" applyAlignment="1">
      <alignment horizontal="left" vertical="top" wrapText="1"/>
    </xf>
    <xf numFmtId="0" fontId="1" fillId="0" borderId="1" xfId="0" applyFont="1" applyBorder="1"/>
    <xf numFmtId="0" fontId="1" fillId="0" borderId="1" xfId="0" applyFont="1" applyBorder="1" applyAlignment="1">
      <alignment wrapText="1"/>
    </xf>
    <xf numFmtId="0" fontId="1" fillId="3" borderId="1" xfId="0" applyFont="1" applyFill="1" applyBorder="1" applyAlignment="1">
      <alignment horizontal="left" vertical="top" wrapText="1"/>
    </xf>
    <xf numFmtId="0" fontId="1" fillId="3" borderId="6" xfId="0" applyFont="1" applyFill="1" applyBorder="1" applyAlignment="1">
      <alignment horizontal="left" vertical="top" wrapText="1"/>
    </xf>
    <xf numFmtId="0" fontId="22" fillId="3" borderId="0" xfId="0" applyFont="1" applyFill="1" applyAlignment="1">
      <alignment vertical="center" wrapText="1"/>
    </xf>
    <xf numFmtId="0" fontId="22" fillId="3" borderId="1" xfId="0" applyFont="1" applyFill="1" applyBorder="1" applyAlignment="1">
      <alignment vertical="center" wrapText="1"/>
    </xf>
    <xf numFmtId="0" fontId="8" fillId="3" borderId="5" xfId="0" applyFont="1" applyFill="1" applyBorder="1" applyAlignment="1">
      <alignment horizontal="left" vertical="top" wrapText="1"/>
    </xf>
    <xf numFmtId="0" fontId="1" fillId="3" borderId="44" xfId="0" applyFont="1" applyFill="1" applyBorder="1" applyAlignment="1">
      <alignment horizontal="left" vertical="top" wrapText="1"/>
    </xf>
    <xf numFmtId="10" fontId="1" fillId="3" borderId="1" xfId="0" applyNumberFormat="1" applyFont="1" applyFill="1" applyBorder="1" applyAlignment="1">
      <alignment horizontal="left" vertical="top" wrapText="1"/>
    </xf>
    <xf numFmtId="0" fontId="1" fillId="3" borderId="11" xfId="0" applyFont="1" applyFill="1" applyBorder="1" applyAlignment="1">
      <alignment horizontal="left" vertical="top" wrapText="1"/>
    </xf>
    <xf numFmtId="0" fontId="8" fillId="3" borderId="38"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1" xfId="0" applyFont="1" applyFill="1" applyBorder="1" applyAlignment="1">
      <alignment horizontal="left" vertical="top" wrapText="1"/>
    </xf>
    <xf numFmtId="0" fontId="1" fillId="3" borderId="6" xfId="0" applyFont="1" applyFill="1" applyBorder="1" applyAlignment="1">
      <alignment vertical="top" wrapText="1"/>
    </xf>
    <xf numFmtId="0" fontId="1" fillId="3" borderId="3" xfId="0" applyFont="1" applyFill="1" applyBorder="1" applyAlignment="1">
      <alignment vertical="top" wrapText="1"/>
    </xf>
    <xf numFmtId="0" fontId="1" fillId="3" borderId="1" xfId="0" applyFont="1" applyFill="1" applyBorder="1" applyAlignment="1">
      <alignment vertical="top" wrapText="1"/>
    </xf>
    <xf numFmtId="0" fontId="1" fillId="3" borderId="11" xfId="0" applyFont="1" applyFill="1" applyBorder="1" applyAlignment="1">
      <alignment vertical="top" wrapText="1"/>
    </xf>
    <xf numFmtId="0" fontId="4" fillId="3" borderId="6" xfId="0" applyFont="1" applyFill="1" applyBorder="1" applyAlignment="1">
      <alignment horizontal="left" vertical="top" wrapText="1"/>
    </xf>
    <xf numFmtId="0" fontId="18" fillId="0" borderId="1" xfId="0" applyFont="1" applyFill="1" applyBorder="1" applyAlignment="1">
      <alignment horizontal="center" vertical="top" wrapText="1"/>
    </xf>
    <xf numFmtId="0" fontId="23"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5" fillId="3" borderId="1" xfId="0" applyFont="1" applyFill="1" applyBorder="1" applyAlignment="1">
      <alignment horizontal="left" vertical="top" wrapText="1"/>
    </xf>
    <xf numFmtId="10" fontId="1" fillId="3" borderId="0" xfId="0" applyNumberFormat="1" applyFont="1" applyFill="1" applyAlignment="1">
      <alignment horizontal="left" vertical="top" wrapText="1"/>
    </xf>
    <xf numFmtId="0" fontId="5" fillId="3" borderId="0" xfId="0" applyFont="1" applyFill="1" applyBorder="1" applyAlignment="1">
      <alignment horizontal="left" vertical="top" wrapText="1"/>
    </xf>
    <xf numFmtId="0" fontId="1" fillId="3" borderId="0" xfId="0" applyFont="1" applyFill="1" applyBorder="1" applyAlignment="1">
      <alignment horizontal="left" vertical="top" wrapText="1"/>
    </xf>
    <xf numFmtId="49" fontId="1" fillId="3" borderId="0" xfId="0" applyNumberFormat="1" applyFont="1" applyFill="1" applyBorder="1" applyAlignment="1">
      <alignment horizontal="left" vertical="top" wrapText="1"/>
    </xf>
    <xf numFmtId="10" fontId="1" fillId="3" borderId="0" xfId="0" applyNumberFormat="1" applyFont="1" applyFill="1" applyBorder="1" applyAlignment="1">
      <alignment horizontal="left" vertical="top" wrapText="1"/>
    </xf>
    <xf numFmtId="10" fontId="5" fillId="3" borderId="0" xfId="0" applyNumberFormat="1" applyFont="1" applyFill="1" applyBorder="1" applyAlignment="1">
      <alignment horizontal="left" vertical="top" wrapText="1"/>
    </xf>
    <xf numFmtId="0" fontId="5" fillId="3" borderId="0" xfId="0" applyFont="1" applyFill="1" applyBorder="1" applyAlignment="1">
      <alignment horizontal="center" vertical="top" wrapText="1"/>
    </xf>
    <xf numFmtId="10" fontId="5" fillId="3" borderId="0" xfId="0" applyNumberFormat="1" applyFont="1" applyFill="1" applyBorder="1" applyAlignment="1">
      <alignment horizontal="center" vertical="top" wrapText="1"/>
    </xf>
    <xf numFmtId="42" fontId="1" fillId="3" borderId="15" xfId="0" applyNumberFormat="1" applyFont="1" applyFill="1" applyBorder="1" applyAlignment="1">
      <alignment horizontal="left" vertical="top" wrapText="1"/>
    </xf>
    <xf numFmtId="42" fontId="5" fillId="3" borderId="15" xfId="0" applyNumberFormat="1" applyFont="1" applyFill="1" applyBorder="1" applyAlignment="1">
      <alignment horizontal="left" vertical="top" wrapText="1"/>
    </xf>
    <xf numFmtId="42" fontId="1" fillId="3" borderId="1" xfId="0" applyNumberFormat="1" applyFont="1" applyFill="1" applyBorder="1" applyAlignment="1">
      <alignment horizontal="left" vertical="top" wrapText="1"/>
    </xf>
    <xf numFmtId="44" fontId="1" fillId="3" borderId="1" xfId="4" applyFont="1" applyFill="1" applyBorder="1" applyAlignment="1">
      <alignment horizontal="left" vertical="top" wrapText="1"/>
    </xf>
    <xf numFmtId="44" fontId="8" fillId="3" borderId="3" xfId="4" applyFont="1" applyFill="1" applyBorder="1" applyAlignment="1">
      <alignment horizontal="left" vertical="top" wrapText="1"/>
    </xf>
    <xf numFmtId="44" fontId="8" fillId="3" borderId="7" xfId="4" applyFont="1" applyFill="1" applyBorder="1" applyAlignment="1">
      <alignment horizontal="left" vertical="top" wrapText="1"/>
    </xf>
    <xf numFmtId="0" fontId="1" fillId="3" borderId="38" xfId="0" applyFont="1" applyFill="1" applyBorder="1" applyAlignment="1">
      <alignment horizontal="left" vertical="top" wrapText="1"/>
    </xf>
    <xf numFmtId="44" fontId="1" fillId="3" borderId="7" xfId="4" applyFont="1" applyFill="1" applyBorder="1" applyAlignment="1">
      <alignment horizontal="left" vertical="top" wrapText="1"/>
    </xf>
    <xf numFmtId="0" fontId="1" fillId="3" borderId="5" xfId="0" applyFont="1" applyFill="1" applyBorder="1" applyAlignment="1">
      <alignment horizontal="left" vertical="top" wrapText="1"/>
    </xf>
    <xf numFmtId="0" fontId="8" fillId="3" borderId="39" xfId="0" applyFont="1" applyFill="1" applyBorder="1" applyAlignment="1">
      <alignment vertical="top" wrapText="1"/>
    </xf>
    <xf numFmtId="0" fontId="9" fillId="3" borderId="4" xfId="0" applyFont="1" applyFill="1" applyBorder="1" applyAlignment="1">
      <alignment vertical="top" wrapText="1"/>
    </xf>
    <xf numFmtId="0" fontId="9" fillId="3" borderId="5" xfId="0" applyFont="1" applyFill="1" applyBorder="1" applyAlignment="1">
      <alignment vertical="top" wrapText="1"/>
    </xf>
    <xf numFmtId="0" fontId="1" fillId="3" borderId="4" xfId="0" applyFont="1" applyFill="1" applyBorder="1" applyAlignment="1">
      <alignment vertical="top" wrapText="1"/>
    </xf>
    <xf numFmtId="0" fontId="1" fillId="3" borderId="5" xfId="0" applyFont="1" applyFill="1" applyBorder="1" applyAlignment="1">
      <alignment vertical="top" wrapText="1"/>
    </xf>
    <xf numFmtId="44" fontId="1" fillId="3" borderId="1" xfId="4" applyFont="1" applyFill="1" applyBorder="1" applyAlignment="1">
      <alignment vertical="top" wrapText="1"/>
    </xf>
    <xf numFmtId="0" fontId="1" fillId="3" borderId="12" xfId="0" applyFont="1" applyFill="1" applyBorder="1" applyAlignment="1">
      <alignment horizontal="left" vertical="top" wrapText="1"/>
    </xf>
    <xf numFmtId="44" fontId="1" fillId="3" borderId="25" xfId="4" applyFont="1" applyFill="1" applyBorder="1" applyAlignment="1">
      <alignment horizontal="left" vertical="top" wrapText="1"/>
    </xf>
    <xf numFmtId="0" fontId="1" fillId="3" borderId="15" xfId="0" applyFont="1" applyFill="1" applyBorder="1" applyAlignment="1">
      <alignment horizontal="left" vertical="top" wrapText="1"/>
    </xf>
    <xf numFmtId="0" fontId="8" fillId="3" borderId="12" xfId="0" applyFont="1" applyFill="1" applyBorder="1" applyAlignment="1">
      <alignment horizontal="left" vertical="top" wrapText="1"/>
    </xf>
    <xf numFmtId="44" fontId="8" fillId="3" borderId="19" xfId="4" applyFont="1" applyFill="1" applyBorder="1" applyAlignment="1">
      <alignment horizontal="left" vertical="top" wrapText="1"/>
    </xf>
    <xf numFmtId="0" fontId="8" fillId="3" borderId="15" xfId="0" applyFont="1" applyFill="1" applyBorder="1" applyAlignment="1">
      <alignment vertical="top" wrapText="1"/>
    </xf>
    <xf numFmtId="0" fontId="1" fillId="3" borderId="33" xfId="0" applyFont="1" applyFill="1" applyBorder="1" applyAlignment="1">
      <alignment horizontal="left" vertical="top" wrapText="1"/>
    </xf>
    <xf numFmtId="44" fontId="1" fillId="3" borderId="33" xfId="4" applyFont="1" applyFill="1" applyBorder="1" applyAlignment="1">
      <alignment horizontal="left" vertical="top" wrapText="1"/>
    </xf>
    <xf numFmtId="0" fontId="1" fillId="3" borderId="33" xfId="0" applyFont="1" applyFill="1" applyBorder="1" applyAlignment="1">
      <alignment vertical="top" wrapText="1"/>
    </xf>
    <xf numFmtId="44" fontId="1" fillId="3" borderId="2" xfId="4" applyFont="1" applyFill="1" applyBorder="1" applyAlignment="1">
      <alignment horizontal="left" vertical="top" wrapText="1"/>
    </xf>
    <xf numFmtId="10" fontId="1" fillId="3" borderId="2" xfId="0" applyNumberFormat="1" applyFont="1" applyFill="1" applyBorder="1" applyAlignment="1">
      <alignment horizontal="left" vertical="top" wrapText="1"/>
    </xf>
    <xf numFmtId="0" fontId="1" fillId="3" borderId="2" xfId="0" applyFont="1" applyFill="1" applyBorder="1" applyAlignment="1">
      <alignment vertical="top" wrapText="1"/>
    </xf>
    <xf numFmtId="0" fontId="9" fillId="3" borderId="5" xfId="0" applyFont="1" applyFill="1" applyBorder="1" applyAlignment="1">
      <alignment horizontal="left" vertical="top" wrapText="1"/>
    </xf>
    <xf numFmtId="0" fontId="4" fillId="3" borderId="2"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41" xfId="0" applyFont="1" applyFill="1" applyBorder="1" applyAlignment="1">
      <alignment horizontal="left" vertical="top" wrapText="1"/>
    </xf>
    <xf numFmtId="0" fontId="1" fillId="3" borderId="1" xfId="0" applyFont="1" applyFill="1" applyBorder="1" applyAlignment="1">
      <alignment vertical="top"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3" borderId="1" xfId="0" applyFont="1" applyFill="1" applyBorder="1" applyAlignment="1">
      <alignment horizontal="left" vertical="top" wrapText="1"/>
    </xf>
    <xf numFmtId="6" fontId="1" fillId="0" borderId="1" xfId="0" applyNumberFormat="1" applyFont="1" applyFill="1" applyBorder="1" applyAlignment="1">
      <alignment horizontal="left" vertical="top" wrapText="1"/>
    </xf>
    <xf numFmtId="9" fontId="1" fillId="0" borderId="1" xfId="0" applyNumberFormat="1" applyFont="1" applyBorder="1" applyAlignment="1">
      <alignment horizontal="left" wrapText="1"/>
    </xf>
    <xf numFmtId="0" fontId="1" fillId="0" borderId="1" xfId="0" applyFont="1" applyBorder="1" applyAlignment="1">
      <alignment horizontal="left" wrapText="1"/>
    </xf>
    <xf numFmtId="9" fontId="1" fillId="0" borderId="1" xfId="0" applyNumberFormat="1" applyFont="1" applyBorder="1" applyAlignment="1">
      <alignment horizontal="left"/>
    </xf>
    <xf numFmtId="49" fontId="1" fillId="0" borderId="1" xfId="0" applyNumberFormat="1" applyFont="1" applyFill="1" applyBorder="1" applyAlignment="1">
      <alignment horizontal="left" vertical="top" wrapText="1"/>
    </xf>
    <xf numFmtId="8" fontId="1" fillId="0" borderId="1" xfId="0" applyNumberFormat="1" applyFont="1" applyFill="1" applyBorder="1" applyAlignment="1">
      <alignment horizontal="left" vertical="top" wrapText="1"/>
    </xf>
    <xf numFmtId="3" fontId="1" fillId="0" borderId="1" xfId="2"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9" fillId="0" borderId="1"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31"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0" xfId="0" applyFont="1" applyFill="1" applyBorder="1" applyAlignment="1">
      <alignment horizontal="center" vertical="top" wrapText="1"/>
    </xf>
    <xf numFmtId="0" fontId="5" fillId="0" borderId="1" xfId="0" applyFont="1" applyFill="1" applyBorder="1" applyAlignment="1">
      <alignment horizontal="left" vertical="top" wrapText="1"/>
    </xf>
    <xf numFmtId="0" fontId="1" fillId="0" borderId="0" xfId="0" applyFont="1" applyFill="1" applyBorder="1" applyAlignment="1">
      <alignment vertical="top" wrapText="1"/>
    </xf>
    <xf numFmtId="0" fontId="5" fillId="0" borderId="0" xfId="0" applyFont="1" applyFill="1" applyBorder="1" applyAlignment="1">
      <alignment horizontal="left" vertical="top" wrapText="1"/>
    </xf>
    <xf numFmtId="165" fontId="1" fillId="0" borderId="0" xfId="0" applyNumberFormat="1" applyFont="1" applyFill="1" applyBorder="1" applyAlignment="1">
      <alignment horizontal="left" vertical="top" wrapText="1"/>
    </xf>
    <xf numFmtId="0" fontId="9" fillId="0" borderId="0" xfId="0" applyFont="1" applyFill="1" applyBorder="1" applyAlignment="1">
      <alignment vertical="top" wrapText="1"/>
    </xf>
    <xf numFmtId="0" fontId="1" fillId="0" borderId="0" xfId="0" applyFont="1" applyFill="1" applyAlignment="1">
      <alignment horizontal="center" vertical="top" wrapText="1"/>
    </xf>
    <xf numFmtId="0" fontId="1" fillId="0" borderId="0" xfId="0" applyFont="1" applyFill="1" applyAlignment="1">
      <alignment vertical="top" wrapText="1"/>
    </xf>
    <xf numFmtId="0" fontId="6" fillId="0" borderId="0" xfId="0" applyFont="1" applyFill="1" applyBorder="1" applyAlignment="1">
      <alignment horizontal="center" vertical="top" wrapText="1"/>
    </xf>
    <xf numFmtId="0" fontId="10" fillId="0" borderId="0" xfId="0" applyFont="1" applyFill="1" applyBorder="1" applyAlignment="1">
      <alignment horizontal="left" vertical="top" wrapText="1"/>
    </xf>
    <xf numFmtId="0" fontId="7" fillId="0" borderId="0" xfId="0" applyFont="1" applyFill="1" applyBorder="1" applyAlignment="1">
      <alignment vertical="top" wrapText="1"/>
    </xf>
    <xf numFmtId="0" fontId="8" fillId="0" borderId="0" xfId="0" applyFont="1" applyFill="1" applyBorder="1" applyAlignment="1">
      <alignment horizontal="left" vertical="top" wrapText="1"/>
    </xf>
    <xf numFmtId="0" fontId="11" fillId="0" borderId="8" xfId="0" applyFont="1" applyFill="1" applyBorder="1" applyAlignment="1">
      <alignment horizontal="left" vertical="top" wrapText="1"/>
    </xf>
    <xf numFmtId="164" fontId="11" fillId="0" borderId="14" xfId="0" applyNumberFormat="1" applyFont="1" applyFill="1" applyBorder="1" applyAlignment="1">
      <alignment horizontal="right" vertical="top" wrapText="1"/>
    </xf>
    <xf numFmtId="0" fontId="13" fillId="0" borderId="14" xfId="0" applyFont="1" applyFill="1" applyBorder="1" applyAlignment="1">
      <alignment horizontal="right" vertical="top" wrapText="1"/>
    </xf>
    <xf numFmtId="0" fontId="8" fillId="0" borderId="27" xfId="0" applyFont="1" applyFill="1" applyBorder="1" applyAlignment="1">
      <alignment horizontal="left" vertical="top" wrapText="1"/>
    </xf>
    <xf numFmtId="164" fontId="5" fillId="0" borderId="0" xfId="0" applyNumberFormat="1" applyFont="1" applyFill="1" applyBorder="1" applyAlignment="1">
      <alignment horizontal="right" vertical="top" wrapText="1"/>
    </xf>
    <xf numFmtId="0" fontId="1" fillId="0" borderId="0" xfId="0" applyFont="1" applyFill="1" applyBorder="1" applyAlignment="1">
      <alignment horizontal="right" vertical="top" wrapText="1"/>
    </xf>
    <xf numFmtId="0" fontId="8" fillId="0" borderId="0" xfId="0" applyFont="1" applyFill="1" applyBorder="1" applyAlignment="1">
      <alignment horizontal="center" vertical="top" wrapText="1"/>
    </xf>
    <xf numFmtId="42" fontId="1" fillId="0" borderId="0" xfId="0" applyNumberFormat="1" applyFont="1" applyFill="1" applyBorder="1" applyAlignment="1">
      <alignment horizontal="right" vertical="top" wrapText="1"/>
    </xf>
    <xf numFmtId="0" fontId="11" fillId="0" borderId="27" xfId="0" applyFont="1" applyFill="1" applyBorder="1" applyAlignment="1">
      <alignment horizontal="left" vertical="top" wrapText="1"/>
    </xf>
    <xf numFmtId="164" fontId="11" fillId="0" borderId="0" xfId="0" applyNumberFormat="1" applyFont="1" applyFill="1" applyBorder="1" applyAlignment="1">
      <alignment horizontal="right" vertical="top" wrapText="1"/>
    </xf>
    <xf numFmtId="0" fontId="7" fillId="0" borderId="27" xfId="0" applyFont="1" applyFill="1" applyBorder="1" applyAlignment="1">
      <alignment horizontal="right" vertical="top" wrapText="1"/>
    </xf>
    <xf numFmtId="42" fontId="5"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1" fillId="0" borderId="0" xfId="0" applyNumberFormat="1" applyFont="1" applyFill="1" applyBorder="1" applyAlignment="1">
      <alignment horizontal="left" vertical="top" wrapText="1"/>
    </xf>
    <xf numFmtId="164" fontId="5" fillId="0" borderId="0" xfId="0" applyNumberFormat="1" applyFont="1" applyFill="1" applyBorder="1" applyAlignment="1">
      <alignment horizontal="center" vertical="top" wrapText="1"/>
    </xf>
    <xf numFmtId="164" fontId="1" fillId="0" borderId="0" xfId="0" applyNumberFormat="1" applyFont="1" applyFill="1" applyBorder="1" applyAlignment="1">
      <alignment horizontal="right" vertical="top" wrapText="1"/>
    </xf>
    <xf numFmtId="0" fontId="8" fillId="0" borderId="0" xfId="0" applyFont="1" applyFill="1" applyBorder="1" applyAlignment="1">
      <alignment horizontal="right" vertical="top" wrapText="1"/>
    </xf>
    <xf numFmtId="42" fontId="7" fillId="0" borderId="0" xfId="0" applyNumberFormat="1" applyFont="1" applyFill="1" applyBorder="1" applyAlignment="1">
      <alignment horizontal="center" vertical="top" wrapText="1"/>
    </xf>
    <xf numFmtId="0" fontId="1" fillId="0" borderId="27" xfId="0" applyFont="1" applyFill="1" applyBorder="1" applyAlignment="1">
      <alignment vertical="top" wrapText="1"/>
    </xf>
    <xf numFmtId="42" fontId="5" fillId="0" borderId="28" xfId="0" applyNumberFormat="1" applyFont="1" applyFill="1" applyBorder="1" applyAlignment="1">
      <alignment horizontal="right" vertical="top" wrapText="1"/>
    </xf>
    <xf numFmtId="42" fontId="8" fillId="0" borderId="28" xfId="0" applyNumberFormat="1" applyFont="1" applyFill="1" applyBorder="1" applyAlignment="1">
      <alignment horizontal="right" vertical="top" wrapText="1"/>
    </xf>
    <xf numFmtId="42" fontId="1" fillId="0" borderId="28" xfId="0" applyNumberFormat="1" applyFont="1" applyFill="1" applyBorder="1" applyAlignment="1">
      <alignment horizontal="left" vertical="top" wrapText="1"/>
    </xf>
    <xf numFmtId="42" fontId="1" fillId="0" borderId="28" xfId="0" applyNumberFormat="1" applyFont="1" applyFill="1" applyBorder="1" applyAlignment="1">
      <alignment horizontal="right" vertical="top" wrapText="1"/>
    </xf>
    <xf numFmtId="0" fontId="5" fillId="0" borderId="24" xfId="0" applyFont="1" applyFill="1" applyBorder="1" applyAlignment="1">
      <alignment horizontal="right" vertical="top" wrapText="1"/>
    </xf>
    <xf numFmtId="164" fontId="8"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6" fillId="0" borderId="8" xfId="0" applyFont="1" applyFill="1" applyBorder="1" applyAlignment="1">
      <alignment vertical="top" wrapText="1"/>
    </xf>
    <xf numFmtId="164" fontId="8" fillId="0" borderId="14" xfId="0" applyNumberFormat="1" applyFont="1" applyFill="1" applyBorder="1" applyAlignment="1">
      <alignment horizontal="right" vertical="top" wrapText="1"/>
    </xf>
    <xf numFmtId="0" fontId="4" fillId="0" borderId="14" xfId="0" applyFont="1" applyFill="1" applyBorder="1" applyAlignment="1">
      <alignment horizontal="right" vertical="top" wrapText="1"/>
    </xf>
    <xf numFmtId="0" fontId="6" fillId="0" borderId="27" xfId="0" applyFont="1" applyFill="1" applyBorder="1" applyAlignment="1">
      <alignment vertical="top" wrapText="1"/>
    </xf>
    <xf numFmtId="0" fontId="4" fillId="0" borderId="27" xfId="0" applyFont="1" applyFill="1" applyBorder="1" applyAlignment="1">
      <alignment vertical="top" wrapText="1"/>
    </xf>
    <xf numFmtId="0" fontId="7" fillId="0" borderId="24" xfId="0" applyFont="1" applyFill="1" applyBorder="1" applyAlignment="1">
      <alignment horizontal="right" vertical="top" wrapText="1"/>
    </xf>
    <xf numFmtId="0" fontId="7" fillId="0" borderId="0" xfId="0" applyFont="1" applyFill="1" applyBorder="1" applyAlignment="1">
      <alignment horizontal="right" vertical="top" wrapText="1"/>
    </xf>
    <xf numFmtId="164" fontId="8" fillId="0" borderId="0" xfId="0" applyNumberFormat="1" applyFont="1" applyFill="1" applyBorder="1" applyAlignment="1">
      <alignment horizontal="left" vertical="top" wrapText="1"/>
    </xf>
    <xf numFmtId="0" fontId="1" fillId="0" borderId="14" xfId="0" applyFont="1" applyFill="1" applyBorder="1" applyAlignment="1">
      <alignment horizontal="left" vertical="top" wrapText="1"/>
    </xf>
    <xf numFmtId="49" fontId="7" fillId="0" borderId="27" xfId="0" applyNumberFormat="1" applyFont="1" applyFill="1" applyBorder="1" applyAlignment="1">
      <alignment horizontal="left" vertical="top" wrapText="1"/>
    </xf>
    <xf numFmtId="0" fontId="5" fillId="0" borderId="0" xfId="0" applyFont="1" applyFill="1" applyBorder="1" applyAlignment="1">
      <alignment horizontal="right" vertical="top" wrapText="1"/>
    </xf>
    <xf numFmtId="49" fontId="8" fillId="0" borderId="27"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164" fontId="1"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right" vertical="top" wrapText="1"/>
    </xf>
    <xf numFmtId="0" fontId="1" fillId="0" borderId="0" xfId="0" applyNumberFormat="1" applyFont="1" applyFill="1" applyBorder="1" applyAlignment="1">
      <alignment horizontal="right" vertical="top" wrapText="1"/>
    </xf>
    <xf numFmtId="0" fontId="5" fillId="0" borderId="0" xfId="0" applyNumberFormat="1" applyFont="1" applyFill="1" applyBorder="1" applyAlignment="1">
      <alignment horizontal="right" vertical="top" wrapText="1"/>
    </xf>
    <xf numFmtId="49" fontId="11" fillId="0" borderId="27" xfId="0" applyNumberFormat="1" applyFont="1" applyFill="1" applyBorder="1" applyAlignment="1">
      <alignment horizontal="left" vertical="top" wrapText="1"/>
    </xf>
    <xf numFmtId="0" fontId="7" fillId="0" borderId="27" xfId="0" applyFont="1" applyFill="1" applyBorder="1" applyAlignment="1">
      <alignment horizontal="left" vertical="top" wrapText="1"/>
    </xf>
    <xf numFmtId="0" fontId="9" fillId="0" borderId="6" xfId="0" applyFont="1" applyFill="1" applyBorder="1" applyAlignment="1">
      <alignment horizontal="left" vertical="top" wrapText="1"/>
    </xf>
    <xf numFmtId="42" fontId="10"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center" vertical="top" wrapText="1"/>
    </xf>
    <xf numFmtId="0" fontId="4" fillId="0" borderId="6" xfId="0" applyFont="1" applyFill="1" applyBorder="1" applyAlignment="1">
      <alignment vertical="top" wrapText="1"/>
    </xf>
    <xf numFmtId="0" fontId="1"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1" fillId="0" borderId="6" xfId="0" applyFont="1" applyFill="1" applyBorder="1" applyAlignment="1">
      <alignment vertical="top" wrapText="1"/>
    </xf>
    <xf numFmtId="0" fontId="4"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27" xfId="0" applyFont="1" applyFill="1" applyBorder="1" applyAlignment="1">
      <alignment horizontal="right" vertical="top" wrapText="1"/>
    </xf>
    <xf numFmtId="42" fontId="7" fillId="0" borderId="0" xfId="0" applyNumberFormat="1" applyFont="1" applyFill="1" applyBorder="1" applyAlignment="1">
      <alignment horizontal="right" vertical="top" wrapText="1"/>
    </xf>
    <xf numFmtId="42" fontId="8" fillId="0" borderId="0" xfId="0" applyNumberFormat="1" applyFont="1" applyFill="1" applyBorder="1" applyAlignment="1">
      <alignment vertical="top" wrapText="1"/>
    </xf>
    <xf numFmtId="164" fontId="7" fillId="0" borderId="0" xfId="0" applyNumberFormat="1" applyFont="1" applyFill="1" applyBorder="1" applyAlignment="1">
      <alignment horizontal="center" vertical="top" wrapText="1"/>
    </xf>
    <xf numFmtId="0" fontId="4" fillId="0" borderId="27" xfId="0" applyFont="1" applyFill="1" applyBorder="1" applyAlignment="1">
      <alignment horizontal="left" vertical="top" wrapText="1"/>
    </xf>
    <xf numFmtId="42" fontId="5" fillId="0" borderId="0" xfId="0" applyNumberFormat="1" applyFont="1" applyFill="1" applyBorder="1" applyAlignment="1">
      <alignment horizontal="center" vertical="top" wrapText="1"/>
    </xf>
    <xf numFmtId="42" fontId="5" fillId="0" borderId="28" xfId="0" applyNumberFormat="1" applyFont="1" applyFill="1" applyBorder="1" applyAlignment="1">
      <alignment horizontal="center" vertical="top" wrapText="1"/>
    </xf>
    <xf numFmtId="0" fontId="6" fillId="0" borderId="8" xfId="0" applyFont="1" applyFill="1" applyBorder="1" applyAlignment="1">
      <alignment horizontal="left" vertical="top" wrapText="1"/>
    </xf>
    <xf numFmtId="0" fontId="1" fillId="0" borderId="28" xfId="0" applyFont="1" applyFill="1" applyBorder="1" applyAlignment="1">
      <alignment horizontal="right" vertical="top" wrapText="1"/>
    </xf>
    <xf numFmtId="0" fontId="4" fillId="0" borderId="0" xfId="0" applyFont="1" applyFill="1" applyBorder="1" applyAlignment="1">
      <alignment horizontal="left" vertical="top" wrapText="1"/>
    </xf>
    <xf numFmtId="164" fontId="14" fillId="0" borderId="14" xfId="0" applyNumberFormat="1" applyFont="1" applyFill="1" applyBorder="1" applyAlignment="1">
      <alignment horizontal="right" vertical="top" wrapText="1"/>
    </xf>
    <xf numFmtId="0" fontId="5" fillId="0" borderId="28" xfId="0" applyFont="1" applyFill="1" applyBorder="1" applyAlignment="1">
      <alignment horizontal="right" vertical="top" wrapText="1"/>
    </xf>
    <xf numFmtId="0" fontId="5" fillId="0" borderId="0" xfId="0" applyFont="1" applyFill="1" applyAlignment="1">
      <alignment vertical="top" wrapText="1"/>
    </xf>
    <xf numFmtId="0" fontId="9" fillId="4" borderId="0" xfId="0" applyFont="1" applyFill="1" applyBorder="1" applyAlignment="1">
      <alignment horizontal="left" vertical="top" wrapText="1"/>
    </xf>
    <xf numFmtId="0" fontId="7" fillId="6" borderId="0" xfId="0" applyFont="1" applyFill="1" applyBorder="1" applyAlignment="1">
      <alignment horizontal="left" vertical="top" wrapText="1"/>
    </xf>
    <xf numFmtId="42" fontId="5" fillId="2" borderId="0" xfId="0" applyNumberFormat="1" applyFont="1" applyFill="1" applyBorder="1" applyAlignment="1">
      <alignment horizontal="right" vertical="top" wrapText="1"/>
    </xf>
    <xf numFmtId="42" fontId="8" fillId="2" borderId="0" xfId="0" applyNumberFormat="1" applyFont="1" applyFill="1" applyBorder="1" applyAlignment="1">
      <alignment horizontal="right" vertical="top" wrapText="1"/>
    </xf>
    <xf numFmtId="42" fontId="1" fillId="2" borderId="0" xfId="0" applyNumberFormat="1" applyFont="1" applyFill="1" applyBorder="1" applyAlignment="1">
      <alignment horizontal="left" vertical="top" wrapText="1"/>
    </xf>
    <xf numFmtId="42" fontId="1" fillId="2" borderId="0" xfId="0" applyNumberFormat="1" applyFont="1" applyFill="1" applyBorder="1" applyAlignment="1">
      <alignment horizontal="right" vertical="top" wrapText="1"/>
    </xf>
    <xf numFmtId="42" fontId="5" fillId="2" borderId="26" xfId="0" applyNumberFormat="1" applyFont="1" applyFill="1" applyBorder="1" applyAlignment="1">
      <alignment horizontal="right" vertical="top" wrapText="1"/>
    </xf>
    <xf numFmtId="42" fontId="8" fillId="2" borderId="26" xfId="0" applyNumberFormat="1" applyFont="1" applyFill="1" applyBorder="1" applyAlignment="1">
      <alignment horizontal="right" vertical="top" wrapText="1"/>
    </xf>
    <xf numFmtId="42" fontId="7" fillId="2" borderId="0" xfId="0" applyNumberFormat="1" applyFont="1" applyFill="1" applyBorder="1" applyAlignment="1">
      <alignment horizontal="right" vertical="top" wrapText="1"/>
    </xf>
    <xf numFmtId="42" fontId="8" fillId="2" borderId="0" xfId="0" applyNumberFormat="1" applyFont="1" applyFill="1" applyBorder="1" applyAlignment="1">
      <alignment vertical="top" wrapText="1"/>
    </xf>
    <xf numFmtId="42" fontId="5" fillId="2" borderId="26" xfId="0" applyNumberFormat="1" applyFont="1" applyFill="1" applyBorder="1" applyAlignment="1">
      <alignment horizontal="center" vertical="top" wrapText="1"/>
    </xf>
    <xf numFmtId="0" fontId="5" fillId="6" borderId="0" xfId="0" applyFont="1" applyFill="1" applyBorder="1" applyAlignment="1">
      <alignment horizontal="left" vertical="top" wrapText="1"/>
    </xf>
    <xf numFmtId="42" fontId="7" fillId="2" borderId="26" xfId="0" applyNumberFormat="1" applyFont="1" applyFill="1" applyBorder="1" applyAlignment="1">
      <alignment horizontal="right" vertical="top" wrapText="1"/>
    </xf>
    <xf numFmtId="42" fontId="7" fillId="2" borderId="29" xfId="0" applyNumberFormat="1" applyFont="1" applyFill="1" applyBorder="1" applyAlignment="1">
      <alignment horizontal="right" vertical="top" wrapText="1"/>
    </xf>
    <xf numFmtId="42" fontId="8" fillId="2" borderId="29" xfId="0" applyNumberFormat="1" applyFont="1" applyFill="1" applyBorder="1" applyAlignment="1">
      <alignment horizontal="right" vertical="top" wrapText="1"/>
    </xf>
    <xf numFmtId="0" fontId="1" fillId="2" borderId="6" xfId="0" applyFont="1" applyFill="1" applyBorder="1" applyAlignment="1">
      <alignment horizontal="left" vertical="top" wrapText="1"/>
    </xf>
    <xf numFmtId="0" fontId="1" fillId="2" borderId="11" xfId="0" applyFont="1" applyFill="1" applyBorder="1" applyAlignment="1">
      <alignment horizontal="left" vertical="top" wrapText="1"/>
    </xf>
    <xf numFmtId="0" fontId="8" fillId="2" borderId="3"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40" xfId="0" applyFont="1" applyFill="1" applyBorder="1" applyAlignment="1">
      <alignment horizontal="left" vertical="top" wrapText="1"/>
    </xf>
    <xf numFmtId="10" fontId="5" fillId="2" borderId="40" xfId="0" applyNumberFormat="1"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3" xfId="0" applyFont="1" applyFill="1" applyBorder="1" applyAlignment="1">
      <alignment horizontal="left" vertical="top" wrapText="1"/>
    </xf>
    <xf numFmtId="10" fontId="5" fillId="2" borderId="13" xfId="0" applyNumberFormat="1" applyFont="1" applyFill="1" applyBorder="1" applyAlignment="1">
      <alignment horizontal="left" vertical="top" wrapText="1"/>
    </xf>
    <xf numFmtId="0" fontId="5" fillId="2" borderId="6" xfId="0" applyFont="1" applyFill="1" applyBorder="1" applyAlignment="1">
      <alignment horizontal="left" vertical="top" wrapText="1"/>
    </xf>
    <xf numFmtId="14" fontId="1" fillId="0" borderId="1" xfId="0" applyNumberFormat="1" applyFont="1" applyBorder="1" applyAlignment="1">
      <alignment horizontal="left" vertical="top" wrapText="1"/>
    </xf>
    <xf numFmtId="0" fontId="5"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3" fontId="1" fillId="0" borderId="1" xfId="2" applyNumberFormat="1" applyFont="1" applyBorder="1" applyAlignment="1">
      <alignment horizontal="center" vertical="center" wrapText="1"/>
    </xf>
    <xf numFmtId="10" fontId="1" fillId="0" borderId="1" xfId="1" applyNumberFormat="1" applyFont="1" applyFill="1" applyBorder="1" applyAlignment="1">
      <alignment vertical="center" wrapText="1"/>
    </xf>
    <xf numFmtId="0" fontId="1" fillId="0" borderId="1" xfId="0" applyFont="1" applyBorder="1" applyAlignment="1">
      <alignment horizontal="center" vertical="center" wrapText="1"/>
    </xf>
    <xf numFmtId="10" fontId="1" fillId="0" borderId="1" xfId="0" applyNumberFormat="1" applyFont="1" applyBorder="1" applyAlignment="1">
      <alignment horizontal="center" vertical="center" wrapText="1"/>
    </xf>
    <xf numFmtId="10" fontId="1" fillId="0" borderId="1" xfId="1" applyNumberFormat="1" applyFont="1" applyFill="1" applyBorder="1" applyAlignment="1">
      <alignment horizontal="center" vertical="center" wrapText="1"/>
    </xf>
    <xf numFmtId="0" fontId="1" fillId="0" borderId="1" xfId="3" applyFont="1" applyBorder="1" applyAlignment="1">
      <alignment horizontal="left" vertical="center" wrapText="1"/>
    </xf>
    <xf numFmtId="166" fontId="1" fillId="0" borderId="1" xfId="0" applyNumberFormat="1" applyFont="1" applyBorder="1" applyAlignment="1">
      <alignment horizontal="left" vertical="center" wrapText="1"/>
    </xf>
    <xf numFmtId="0" fontId="1" fillId="0" borderId="1" xfId="1" applyNumberFormat="1" applyFont="1" applyFill="1" applyBorder="1" applyAlignment="1" applyProtection="1">
      <alignment horizontal="left" vertical="center" wrapText="1"/>
      <protection locked="0"/>
    </xf>
    <xf numFmtId="0" fontId="1" fillId="0" borderId="1" xfId="2" applyNumberFormat="1"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 fillId="0" borderId="1" xfId="0" applyFont="1" applyFill="1" applyBorder="1" applyAlignment="1">
      <alignment horizontal="left" vertical="center" wrapText="1"/>
    </xf>
    <xf numFmtId="0" fontId="16" fillId="0" borderId="1" xfId="0" applyFont="1" applyBorder="1" applyAlignment="1">
      <alignment horizontal="left" vertical="center"/>
    </xf>
    <xf numFmtId="14" fontId="16" fillId="0" borderId="1" xfId="0" applyNumberFormat="1" applyFont="1" applyBorder="1" applyAlignment="1">
      <alignment horizontal="left" vertical="center"/>
    </xf>
    <xf numFmtId="0" fontId="8" fillId="0" borderId="1" xfId="3" applyFont="1" applyBorder="1" applyAlignment="1">
      <alignment horizontal="left" vertical="center" wrapText="1"/>
    </xf>
    <xf numFmtId="10" fontId="1" fillId="0" borderId="1" xfId="0" applyNumberFormat="1" applyFont="1" applyBorder="1" applyAlignment="1">
      <alignment horizontal="left" vertical="center" wrapText="1"/>
    </xf>
    <xf numFmtId="3" fontId="1" fillId="0" borderId="1" xfId="2" applyNumberFormat="1" applyFont="1" applyBorder="1" applyAlignment="1">
      <alignment horizontal="left" vertical="center" wrapText="1"/>
    </xf>
    <xf numFmtId="0" fontId="17" fillId="0" borderId="1" xfId="0" applyFont="1" applyFill="1" applyBorder="1" applyAlignment="1">
      <alignment vertical="center"/>
    </xf>
    <xf numFmtId="0" fontId="17" fillId="0" borderId="1" xfId="0" applyFont="1" applyFill="1" applyBorder="1" applyAlignment="1">
      <alignment horizontal="left" vertical="center" wrapText="1"/>
    </xf>
    <xf numFmtId="14" fontId="1" fillId="0" borderId="1" xfId="3" applyNumberFormat="1" applyFont="1" applyBorder="1" applyAlignment="1">
      <alignment horizontal="left" vertical="center" wrapText="1"/>
    </xf>
    <xf numFmtId="10" fontId="1" fillId="0" borderId="1" xfId="1" applyNumberFormat="1" applyFont="1" applyFill="1" applyBorder="1" applyAlignment="1" applyProtection="1">
      <alignment horizontal="left" vertical="center" wrapText="1"/>
      <protection locked="0"/>
    </xf>
    <xf numFmtId="10" fontId="8" fillId="0" borderId="1" xfId="1" applyNumberFormat="1" applyFont="1" applyFill="1" applyBorder="1" applyAlignment="1" applyProtection="1">
      <alignment horizontal="left" vertical="center" wrapText="1"/>
      <protection locked="0"/>
    </xf>
    <xf numFmtId="10" fontId="1" fillId="0" borderId="1" xfId="0" applyNumberFormat="1" applyFont="1" applyFill="1" applyBorder="1" applyAlignment="1" applyProtection="1">
      <alignment horizontal="left" vertical="center" wrapText="1"/>
      <protection locked="0"/>
    </xf>
    <xf numFmtId="3" fontId="1" fillId="0" borderId="1" xfId="2" applyNumberFormat="1" applyFont="1" applyFill="1" applyBorder="1" applyAlignment="1" applyProtection="1">
      <alignment horizontal="left" vertical="center" wrapText="1"/>
      <protection locked="0"/>
    </xf>
    <xf numFmtId="3" fontId="1" fillId="0" borderId="1" xfId="2" applyNumberFormat="1" applyFont="1" applyBorder="1" applyAlignment="1" applyProtection="1">
      <alignment horizontal="left" vertical="center" wrapText="1"/>
      <protection locked="0"/>
    </xf>
    <xf numFmtId="0" fontId="1" fillId="0" borderId="1" xfId="3" applyFont="1" applyFill="1" applyBorder="1" applyAlignment="1">
      <alignment horizontal="lef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1" fillId="0" borderId="1" xfId="0" applyFont="1" applyBorder="1" applyAlignment="1">
      <alignment horizontal="center" vertical="top" wrapText="1"/>
    </xf>
    <xf numFmtId="0" fontId="5" fillId="3"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165"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1" fillId="5" borderId="32" xfId="0" applyFont="1" applyFill="1" applyBorder="1" applyAlignment="1">
      <alignment horizontal="left" vertical="top" wrapText="1"/>
    </xf>
    <xf numFmtId="0" fontId="1" fillId="5" borderId="35" xfId="0" applyFont="1" applyFill="1" applyBorder="1" applyAlignment="1">
      <alignment horizontal="left" vertical="top" wrapText="1"/>
    </xf>
    <xf numFmtId="0" fontId="1" fillId="5" borderId="36" xfId="0" applyFont="1" applyFill="1" applyBorder="1" applyAlignment="1">
      <alignment horizontal="left" vertical="top" wrapText="1"/>
    </xf>
    <xf numFmtId="0" fontId="1" fillId="5" borderId="33" xfId="0" applyFont="1" applyFill="1" applyBorder="1" applyAlignment="1">
      <alignment horizontal="left" vertical="top" wrapText="1"/>
    </xf>
    <xf numFmtId="0" fontId="1" fillId="0" borderId="30" xfId="0" applyFont="1" applyBorder="1" applyAlignment="1">
      <alignment horizontal="left" vertical="top" wrapText="1"/>
    </xf>
    <xf numFmtId="0" fontId="1" fillId="0" borderId="37" xfId="0" applyFont="1" applyBorder="1" applyAlignment="1">
      <alignment horizontal="left" vertical="top" wrapText="1"/>
    </xf>
    <xf numFmtId="0" fontId="1" fillId="0" borderId="33"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3" borderId="32" xfId="0" applyFont="1" applyFill="1" applyBorder="1" applyAlignment="1">
      <alignment horizontal="left" vertical="top" wrapText="1"/>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31" xfId="0" applyFont="1" applyBorder="1" applyAlignment="1">
      <alignment horizontal="left" vertical="top" wrapText="1"/>
    </xf>
    <xf numFmtId="49" fontId="1" fillId="0" borderId="1" xfId="0" quotePrefix="1" applyNumberFormat="1" applyFont="1" applyFill="1" applyBorder="1" applyAlignment="1">
      <alignment horizontal="left" vertical="top" wrapText="1"/>
    </xf>
    <xf numFmtId="0" fontId="1" fillId="0" borderId="1" xfId="0" applyFont="1" applyFill="1" applyBorder="1" applyAlignment="1">
      <alignment vertical="top" wrapText="1"/>
    </xf>
    <xf numFmtId="165" fontId="1" fillId="0" borderId="1" xfId="0" applyNumberFormat="1" applyFont="1" applyFill="1" applyBorder="1" applyAlignment="1">
      <alignment horizontal="left" vertical="top" wrapText="1"/>
    </xf>
    <xf numFmtId="0" fontId="1" fillId="0" borderId="0" xfId="0" applyFont="1" applyFill="1" applyAlignment="1">
      <alignment vertical="top" wrapText="1"/>
    </xf>
    <xf numFmtId="0" fontId="1" fillId="0" borderId="2"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left"/>
    </xf>
    <xf numFmtId="0" fontId="1" fillId="0" borderId="31" xfId="0" applyFont="1" applyBorder="1" applyAlignment="1">
      <alignment horizontal="left"/>
    </xf>
    <xf numFmtId="0" fontId="1" fillId="0" borderId="2" xfId="0" applyFont="1" applyBorder="1" applyAlignment="1">
      <alignment horizontal="left" wrapText="1"/>
    </xf>
    <xf numFmtId="0" fontId="1" fillId="0" borderId="31" xfId="0" applyFont="1" applyBorder="1" applyAlignment="1">
      <alignment horizontal="left" wrapText="1"/>
    </xf>
    <xf numFmtId="0" fontId="1" fillId="0" borderId="7" xfId="0" applyFont="1" applyBorder="1" applyAlignment="1">
      <alignment horizontal="left"/>
    </xf>
    <xf numFmtId="0" fontId="1" fillId="0" borderId="13" xfId="0" applyFont="1" applyBorder="1" applyAlignment="1">
      <alignment horizontal="left"/>
    </xf>
    <xf numFmtId="0" fontId="1" fillId="0" borderId="16" xfId="0" applyFont="1" applyBorder="1" applyAlignment="1">
      <alignment horizontal="left"/>
    </xf>
    <xf numFmtId="0" fontId="1" fillId="0" borderId="45" xfId="0" applyFont="1" applyBorder="1" applyAlignment="1">
      <alignment horizontal="left"/>
    </xf>
    <xf numFmtId="16" fontId="1" fillId="0" borderId="1" xfId="0" applyNumberFormat="1" applyFont="1" applyFill="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3" xfId="0" applyFont="1" applyFill="1" applyBorder="1" applyAlignment="1">
      <alignment vertical="top" wrapText="1"/>
    </xf>
    <xf numFmtId="0" fontId="4" fillId="3" borderId="4" xfId="0" applyFont="1" applyFill="1" applyBorder="1" applyAlignment="1">
      <alignment vertical="top" wrapText="1"/>
    </xf>
    <xf numFmtId="0" fontId="4" fillId="3" borderId="5" xfId="0" applyFont="1" applyFill="1" applyBorder="1" applyAlignment="1">
      <alignment vertical="top" wrapText="1"/>
    </xf>
    <xf numFmtId="0" fontId="9" fillId="4" borderId="46"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5" xfId="0" applyFont="1" applyFill="1" applyBorder="1" applyAlignment="1">
      <alignment horizontal="left" vertical="top" wrapText="1"/>
    </xf>
    <xf numFmtId="0" fontId="4" fillId="3" borderId="46" xfId="0" applyFont="1" applyFill="1" applyBorder="1" applyAlignment="1">
      <alignment horizontal="left" vertical="top" wrapText="1"/>
    </xf>
    <xf numFmtId="0" fontId="1" fillId="3" borderId="46"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21" xfId="0" applyFont="1" applyFill="1" applyBorder="1" applyAlignment="1">
      <alignment horizontal="center" vertical="top" wrapText="1"/>
    </xf>
    <xf numFmtId="0" fontId="5" fillId="3" borderId="22" xfId="0" applyFont="1" applyFill="1" applyBorder="1" applyAlignment="1">
      <alignment horizontal="center" vertical="top" wrapText="1"/>
    </xf>
    <xf numFmtId="0" fontId="1" fillId="3" borderId="23" xfId="0" applyFont="1" applyFill="1" applyBorder="1" applyAlignment="1">
      <alignment horizontal="center" vertical="top" wrapText="1"/>
    </xf>
    <xf numFmtId="165" fontId="1" fillId="3" borderId="1" xfId="0" applyNumberFormat="1" applyFont="1" applyFill="1" applyBorder="1" applyAlignment="1">
      <alignment horizontal="left" vertical="top" wrapText="1"/>
    </xf>
    <xf numFmtId="49" fontId="1" fillId="3"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5" fillId="3" borderId="17" xfId="0" applyFont="1" applyFill="1" applyBorder="1" applyAlignment="1">
      <alignment horizontal="center" vertical="top" wrapText="1"/>
    </xf>
    <xf numFmtId="0" fontId="5" fillId="3" borderId="18" xfId="0" applyFont="1" applyFill="1" applyBorder="1" applyAlignment="1">
      <alignment horizontal="center" vertical="top" wrapText="1"/>
    </xf>
  </cellXfs>
  <cellStyles count="5">
    <cellStyle name="Comma" xfId="2" builtinId="3"/>
    <cellStyle name="Currency" xfId="4" builtinId="4"/>
    <cellStyle name="Normal" xfId="0" builtinId="0"/>
    <cellStyle name="Normal 2" xfId="3"/>
    <cellStyle name="Percent" xfId="1" builtinId="5"/>
  </cellStyles>
  <dxfs count="610">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105834</xdr:colOff>
      <xdr:row>38</xdr:row>
      <xdr:rowOff>158749</xdr:rowOff>
    </xdr:from>
    <xdr:to>
      <xdr:col>7</xdr:col>
      <xdr:colOff>30480</xdr:colOff>
      <xdr:row>42</xdr:row>
      <xdr:rowOff>114300</xdr:rowOff>
    </xdr:to>
    <xdr:sp macro="" textlink="">
      <xdr:nvSpPr>
        <xdr:cNvPr id="3" name="Rounded Rectangle 2"/>
        <xdr:cNvSpPr/>
      </xdr:nvSpPr>
      <xdr:spPr>
        <a:xfrm>
          <a:off x="105834" y="11360149"/>
          <a:ext cx="11097471" cy="6032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The turnover</a:t>
          </a:r>
          <a:r>
            <a:rPr lang="en-US" sz="1100" baseline="0"/>
            <a:t> %s above include both FTE and state temporary turnover.  LLR has provided only FTE turnover (noted below) as the agency believes this is a better indicator of employee retention as state temporary employees separate at a higher rate due to the temporary nature of the work and/or position.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cel\FTE.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8-02%20-%20Question%20#13 - PER Finance Data Draft 3 - combined USAR with Fire Marshal Revenu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Stewartf\Documents\My%20Documents\Documents\2018%20-%20House%20Oversight\2018-02%20-%20Question%20%2313%20-%20PER%20Finance%20Data%20Draft2%20Combined.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annme\AppData\Local\Microsoft\Windows\INetCache\Content.Outlook\VFDIZWEX\Copy%20of%20MASTER%20PER%20-%20Excel%20-%20Communications%20and%20Governmental%20Affairs%20-%20Performance%20measures%20v.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mannme\AppData\Local\Microsoft\Windows\INetCache\Content.Outlook\VFDIZWEX\Master%20PER%20-%20Immigration%20and%20Elevators%20Amusement%20Rides%204-19-2018%20(002).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Performance%20Measure%20Final%20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CollierS\AppData\Local\Microsoft\Windows\INetCache\Content.Outlook\M5W4Z79Z\Copy%20of%20MASTER%20PER%20-%20Excel%20-%20Communications%20and%20Governmental%20Affairs%20-%20Performance%20measures%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CollierS\AppData\Local\Microsoft\Windows\INetCache\Content.Outlook\M5W4Z79Z\DoTS%20Copy%20of%20MASTER%20PER%20-%20Exce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CollierS\AppData\Local\Microsoft\Windows\INetCache\Content.Outlook\M5W4Z79Z\Copy%20of%20PER%20-%20Excel%20Template%20(January%202018)%20-%20Performance%20Measures%20(04111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CollierS\AppData\Local\Microsoft\Windows\INetCache\Content.Outlook\M5W4Z79Z\Copy%20of%20Copy%20of%20PER%20-%20Excel%20Template%20(January%202018)%20-%20Performance%20Measure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mannme\AppData\Local\Microsoft\Windows\INetCache\Content.Outlook\VFDIZWEX\Copy%20of%20PER%20working%20copy%20master%20doc%20(27MAR18)%20-%20State%20Fi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nnme\AppData\Local\Microsoft\Windows\INetCache\Content.Outlook\VFDIZWEX\Copy%20of%20PER%20working%20copy%20master%20doc%20-%2003.20.1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CollierS\AppData\Local\Microsoft\Windows\INetCache\Content.Outlook\M5W4Z79Z\Copy%20of%20MASTER%20PER%20-%20Excel%20(002)-%20Strategic%20Plan%20Summary%20(04111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CollierS\AppData\Local\Microsoft\Windows\INetCache\Content.Outlook\M5W4Z79Z\Master%20PER%20-%20Immigration%20and%20Elevators%20Amusement%20Rides%204-9-1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CollierS\AppData\Local\Microsoft\Windows\INetCache\Content.Outlook\M5W4Z79Z\Copy%20of%20MASTER%20PER%20-%20Excel%20(002)-%20Strategic%20Plan%20Summary.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CollierS\AppData\Local\Microsoft\Windows\INetCache\Content.Outlook\M5W4Z79Z\Copy%20of%20MASTER%20PER%20-%20Excel%20(002)-%20Strategic%20Plan%20Summary%20(002).xlsx"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Copy%20of%20MASTER%20PER%20-%20Excel%20(Jonathan's%20Edits%2010%20APR).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CollierS\AppData\Local\Microsoft\Windows\INetCache\Content.Outlook\M5W4Z79Z\Copy%20of%20MASTER%20PER%20-%20KLB%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nme\AppData\Local\Microsoft\Windows\INetCache\Content.Outlook\VFDIZWEX\Copy%20of%20PER%20working%20copy%20master%20doc%20(28MAR18)%20-%20State%20Fir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nnme\AppData\Local\Microsoft\Windows\INetCache\Content.Outlook\VFDIZWEX\Copy%20of%20PER%20working%20copy%20master%20doc%20Deliverables%200328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nnme\AppData\Local\Microsoft\Windows\INetCache\Content.Outlook\VFDIZWEX\Copy%20of%20PER%20working%20copy%20master%20doc%20(26MAR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ollierS\AppData\Local\Microsoft\Windows\INetCache\Content.Outlook\M5W4Z79Z\Melina's%20Updated%20PER%20with%20Kate's%20Additions%204.2.18--Deliverables%20tab.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annme\AppData\Local\Microsoft\Windows\INetCache\Content.Outlook\VFDIZWEX\Copy%20of%20PER%20Deliverables%20working%20copy%20master%20Final%20Version%20Admin%20addition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A%20Directors%20Office\House%20Legislative%20Oversight%20Committee%20-%202018\Senior%20Staff%20Submissions\Question%2312\PER%20-%20Excel%20Template%20(January%202018)%20-%20LLR%20(KRB%20Draft%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farre\AppData\Local\Microsoft\Windows\INetCache\Content.Outlook\OY0UJGZE\PER%20-%20Excel%20Template%20(January%202018)%20-%20LLR%20(KRB%20Draft%202)%20Revised%20ER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
          <cell r="C8">
            <v>8.5500000000000007</v>
          </cell>
        </row>
        <row r="9">
          <cell r="C9">
            <v>187.72</v>
          </cell>
        </row>
        <row r="11">
          <cell r="C11">
            <v>12.56</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 val="Laws"/>
      <sheetName val="Deliverables"/>
      <sheetName val="Deliverables - Potential Harm"/>
      <sheetName val="Organizational Units"/>
      <sheetName val="ComprehensiveStrategic Finances"/>
      <sheetName val="Performance Measures"/>
      <sheetName val="Strategic Plan Summary"/>
    </sheetNames>
    <sheetDataSet>
      <sheetData sheetId="0" refreshError="1"/>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ow r="81">
          <cell r="D81" t="str">
            <v>Jan - Dec</v>
          </cell>
          <cell r="L81" t="str">
            <v>Consider using in future</v>
          </cell>
        </row>
        <row r="82">
          <cell r="D82" t="str">
            <v>July -June</v>
          </cell>
        </row>
        <row r="84">
          <cell r="A84" t="str">
            <v>Oversee the scheduling and handling of administrative hearings.</v>
          </cell>
        </row>
        <row r="85">
          <cell r="A85" t="str">
            <v>Attend legislative hearings.</v>
          </cell>
        </row>
        <row r="86">
          <cell r="A86" t="str">
            <v>Report on the status of legislation and regulations to the boards.</v>
          </cell>
        </row>
        <row r="87">
          <cell r="A87" t="str">
            <v>Weekly legislative updates to boards.</v>
          </cell>
        </row>
        <row r="88">
          <cell r="A88" t="str">
            <v>Weekly notifications to boards of legislative hearings.</v>
          </cell>
        </row>
        <row r="89">
          <cell r="A89" t="str">
            <v>Annual summary of legislative and regulatory changes.</v>
          </cell>
        </row>
      </sheetData>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 val="Laws"/>
      <sheetName val="Deliverables"/>
      <sheetName val="Deliverables - Potential Harm"/>
      <sheetName val="Organizational Units"/>
      <sheetName val="ComprehensiveStrategic Finances"/>
      <sheetName val="Performance Measures"/>
      <sheetName val="Strategic Plan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 val="Laws"/>
      <sheetName val="Deliverables"/>
      <sheetName val="Deliverables - Potential Harm"/>
      <sheetName val="Organizational Units"/>
      <sheetName val="ComprehensiveStrategic Finances"/>
      <sheetName val="Performance Measures"/>
      <sheetName val="Strategic Plan Summary"/>
    </sheetNames>
    <sheetDataSet>
      <sheetData sheetId="0" refreshError="1"/>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sheetData sheetId="1">
        <row r="75">
          <cell r="E75">
            <v>0</v>
          </cell>
        </row>
      </sheetData>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4"/>
  <sheetViews>
    <sheetView workbookViewId="0">
      <selection activeCell="H6" sqref="H6"/>
    </sheetView>
  </sheetViews>
  <sheetFormatPr defaultColWidth="9.140625" defaultRowHeight="12.75" x14ac:dyDescent="0.2"/>
  <cols>
    <col min="1" max="1" width="6.85546875" style="176" customWidth="1"/>
    <col min="2" max="2" width="19.7109375" style="176" customWidth="1"/>
    <col min="3" max="3" width="12.140625" style="176" customWidth="1"/>
    <col min="4" max="4" width="12.85546875" style="176" customWidth="1"/>
    <col min="5" max="5" width="44.42578125" style="176" customWidth="1"/>
    <col min="6" max="6" width="17.7109375" style="176" customWidth="1"/>
    <col min="7" max="7" width="22.28515625" style="176" customWidth="1"/>
    <col min="8" max="8" width="23.7109375" style="176" customWidth="1"/>
    <col min="9" max="16384" width="9.140625" style="176"/>
  </cols>
  <sheetData>
    <row r="1" spans="1:8" s="177" customFormat="1" x14ac:dyDescent="0.2">
      <c r="A1" s="176"/>
      <c r="B1" s="1" t="s">
        <v>0</v>
      </c>
      <c r="C1" s="322" t="s">
        <v>806</v>
      </c>
      <c r="D1" s="322"/>
      <c r="E1" s="322"/>
      <c r="F1" s="176"/>
      <c r="G1" s="176"/>
      <c r="H1" s="176"/>
    </row>
    <row r="2" spans="1:8" x14ac:dyDescent="0.2">
      <c r="B2" s="1" t="s">
        <v>1</v>
      </c>
      <c r="C2" s="323">
        <v>43210</v>
      </c>
      <c r="D2" s="323"/>
      <c r="E2" s="323"/>
    </row>
    <row r="3" spans="1:8" x14ac:dyDescent="0.2">
      <c r="A3" s="1"/>
      <c r="D3" s="284"/>
      <c r="E3" s="178"/>
    </row>
    <row r="4" spans="1:8" x14ac:dyDescent="0.2">
      <c r="A4" s="1"/>
      <c r="B4" s="1"/>
      <c r="C4" s="1"/>
      <c r="D4" s="1"/>
      <c r="E4" s="1"/>
      <c r="F4" s="320" t="s">
        <v>122</v>
      </c>
      <c r="G4" s="321"/>
      <c r="H4" s="285" t="s">
        <v>33</v>
      </c>
    </row>
    <row r="5" spans="1:8" ht="63.75" x14ac:dyDescent="0.2">
      <c r="A5" s="60" t="s">
        <v>5</v>
      </c>
      <c r="B5" s="60" t="s">
        <v>16</v>
      </c>
      <c r="C5" s="60" t="s">
        <v>17</v>
      </c>
      <c r="D5" s="60" t="s">
        <v>18</v>
      </c>
      <c r="E5" s="60" t="s">
        <v>19</v>
      </c>
      <c r="F5" s="286" t="s">
        <v>123</v>
      </c>
      <c r="G5" s="286" t="s">
        <v>210</v>
      </c>
      <c r="H5" s="286" t="s">
        <v>174</v>
      </c>
    </row>
    <row r="6" spans="1:8" ht="103.15" customHeight="1" x14ac:dyDescent="0.2">
      <c r="A6" s="317">
        <v>1</v>
      </c>
      <c r="B6" s="287" t="s">
        <v>465</v>
      </c>
      <c r="C6" s="287" t="s">
        <v>11</v>
      </c>
      <c r="D6" s="287" t="s">
        <v>228</v>
      </c>
      <c r="E6" s="287" t="s">
        <v>1413</v>
      </c>
      <c r="F6" s="288" t="s">
        <v>15</v>
      </c>
      <c r="G6" s="289" t="s">
        <v>43</v>
      </c>
      <c r="H6" s="290" t="s">
        <v>15</v>
      </c>
    </row>
    <row r="7" spans="1:8" ht="36.6" customHeight="1" x14ac:dyDescent="0.2">
      <c r="A7" s="317">
        <v>2</v>
      </c>
      <c r="B7" s="287" t="s">
        <v>466</v>
      </c>
      <c r="C7" s="287" t="s">
        <v>11</v>
      </c>
      <c r="D7" s="287" t="s">
        <v>228</v>
      </c>
      <c r="E7" s="287" t="s">
        <v>467</v>
      </c>
      <c r="F7" s="291" t="s">
        <v>15</v>
      </c>
      <c r="G7" s="289" t="s">
        <v>43</v>
      </c>
      <c r="H7" s="290" t="s">
        <v>15</v>
      </c>
    </row>
    <row r="8" spans="1:8" ht="73.150000000000006" customHeight="1" x14ac:dyDescent="0.2">
      <c r="A8" s="317">
        <v>3</v>
      </c>
      <c r="B8" s="287" t="s">
        <v>468</v>
      </c>
      <c r="C8" s="287" t="s">
        <v>11</v>
      </c>
      <c r="D8" s="287" t="s">
        <v>228</v>
      </c>
      <c r="E8" s="287" t="s">
        <v>469</v>
      </c>
      <c r="F8" s="292" t="s">
        <v>15</v>
      </c>
      <c r="G8" s="289" t="s">
        <v>43</v>
      </c>
      <c r="H8" s="290" t="s">
        <v>15</v>
      </c>
    </row>
    <row r="9" spans="1:8" ht="66.599999999999994" customHeight="1" x14ac:dyDescent="0.2">
      <c r="A9" s="317">
        <v>4</v>
      </c>
      <c r="B9" s="293" t="s">
        <v>279</v>
      </c>
      <c r="C9" s="294" t="s">
        <v>11</v>
      </c>
      <c r="D9" s="294" t="s">
        <v>228</v>
      </c>
      <c r="E9" s="295" t="s">
        <v>1651</v>
      </c>
      <c r="F9" s="288" t="s">
        <v>15</v>
      </c>
      <c r="G9" s="289" t="s">
        <v>43</v>
      </c>
      <c r="H9" s="290" t="s">
        <v>15</v>
      </c>
    </row>
    <row r="10" spans="1:8" ht="51" x14ac:dyDescent="0.2">
      <c r="A10" s="317">
        <v>5</v>
      </c>
      <c r="B10" s="293" t="s">
        <v>280</v>
      </c>
      <c r="C10" s="293" t="s">
        <v>11</v>
      </c>
      <c r="D10" s="294" t="s">
        <v>228</v>
      </c>
      <c r="E10" s="296" t="s">
        <v>281</v>
      </c>
      <c r="F10" s="292" t="s">
        <v>15</v>
      </c>
      <c r="G10" s="289" t="s">
        <v>43</v>
      </c>
      <c r="H10" s="290" t="s">
        <v>15</v>
      </c>
    </row>
    <row r="11" spans="1:8" ht="63.75" x14ac:dyDescent="0.2">
      <c r="A11" s="317">
        <v>6</v>
      </c>
      <c r="B11" s="293" t="s">
        <v>470</v>
      </c>
      <c r="C11" s="293" t="s">
        <v>11</v>
      </c>
      <c r="D11" s="294" t="s">
        <v>228</v>
      </c>
      <c r="E11" s="296" t="s">
        <v>590</v>
      </c>
      <c r="F11" s="288" t="s">
        <v>15</v>
      </c>
      <c r="G11" s="289" t="s">
        <v>43</v>
      </c>
      <c r="H11" s="290" t="s">
        <v>15</v>
      </c>
    </row>
    <row r="12" spans="1:8" ht="76.5" x14ac:dyDescent="0.2">
      <c r="A12" s="317">
        <v>7</v>
      </c>
      <c r="B12" s="293" t="s">
        <v>282</v>
      </c>
      <c r="C12" s="293" t="s">
        <v>11</v>
      </c>
      <c r="D12" s="294" t="s">
        <v>228</v>
      </c>
      <c r="E12" s="297" t="s">
        <v>1414</v>
      </c>
      <c r="F12" s="291" t="s">
        <v>14</v>
      </c>
      <c r="G12" s="289" t="s">
        <v>547</v>
      </c>
      <c r="H12" s="291" t="s">
        <v>246</v>
      </c>
    </row>
    <row r="13" spans="1:8" ht="38.25" x14ac:dyDescent="0.2">
      <c r="A13" s="317">
        <v>8</v>
      </c>
      <c r="B13" s="293" t="s">
        <v>283</v>
      </c>
      <c r="C13" s="293" t="s">
        <v>11</v>
      </c>
      <c r="D13" s="294" t="s">
        <v>228</v>
      </c>
      <c r="E13" s="295" t="s">
        <v>548</v>
      </c>
      <c r="F13" s="291" t="s">
        <v>14</v>
      </c>
      <c r="G13" s="289" t="s">
        <v>591</v>
      </c>
      <c r="H13" s="291" t="s">
        <v>236</v>
      </c>
    </row>
    <row r="14" spans="1:8" ht="38.25" x14ac:dyDescent="0.2">
      <c r="A14" s="317">
        <v>9</v>
      </c>
      <c r="B14" s="293" t="s">
        <v>284</v>
      </c>
      <c r="C14" s="293" t="s">
        <v>11</v>
      </c>
      <c r="D14" s="294" t="s">
        <v>228</v>
      </c>
      <c r="E14" s="296" t="s">
        <v>1415</v>
      </c>
      <c r="F14" s="291" t="s">
        <v>14</v>
      </c>
      <c r="G14" s="289" t="s">
        <v>547</v>
      </c>
      <c r="H14" s="291" t="s">
        <v>236</v>
      </c>
    </row>
    <row r="15" spans="1:8" ht="25.5" x14ac:dyDescent="0.2">
      <c r="A15" s="317">
        <v>10</v>
      </c>
      <c r="B15" s="293" t="s">
        <v>285</v>
      </c>
      <c r="C15" s="293" t="s">
        <v>11</v>
      </c>
      <c r="D15" s="294" t="s">
        <v>228</v>
      </c>
      <c r="E15" s="295" t="s">
        <v>1416</v>
      </c>
      <c r="F15" s="291" t="s">
        <v>15</v>
      </c>
      <c r="G15" s="289" t="s">
        <v>43</v>
      </c>
      <c r="H15" s="291" t="s">
        <v>15</v>
      </c>
    </row>
    <row r="16" spans="1:8" ht="34.9" customHeight="1" x14ac:dyDescent="0.2">
      <c r="A16" s="318">
        <v>11</v>
      </c>
      <c r="B16" s="293" t="s">
        <v>471</v>
      </c>
      <c r="C16" s="293" t="s">
        <v>11</v>
      </c>
      <c r="D16" s="294" t="s">
        <v>228</v>
      </c>
      <c r="E16" s="295" t="s">
        <v>1417</v>
      </c>
      <c r="F16" s="291" t="s">
        <v>15</v>
      </c>
      <c r="G16" s="289" t="s">
        <v>43</v>
      </c>
      <c r="H16" s="291" t="s">
        <v>15</v>
      </c>
    </row>
    <row r="17" spans="1:8" ht="38.25" x14ac:dyDescent="0.2">
      <c r="A17" s="318">
        <v>12</v>
      </c>
      <c r="B17" s="293" t="s">
        <v>472</v>
      </c>
      <c r="C17" s="293" t="s">
        <v>11</v>
      </c>
      <c r="D17" s="294" t="s">
        <v>228</v>
      </c>
      <c r="E17" s="296" t="s">
        <v>286</v>
      </c>
      <c r="F17" s="292" t="s">
        <v>15</v>
      </c>
      <c r="G17" s="289" t="s">
        <v>43</v>
      </c>
      <c r="H17" s="291" t="s">
        <v>15</v>
      </c>
    </row>
    <row r="18" spans="1:8" ht="51" x14ac:dyDescent="0.2">
      <c r="A18" s="318">
        <v>13</v>
      </c>
      <c r="B18" s="293" t="s">
        <v>473</v>
      </c>
      <c r="C18" s="293" t="s">
        <v>11</v>
      </c>
      <c r="D18" s="294" t="s">
        <v>228</v>
      </c>
      <c r="E18" s="297" t="s">
        <v>1418</v>
      </c>
      <c r="F18" s="291" t="s">
        <v>14</v>
      </c>
      <c r="G18" s="289" t="s">
        <v>549</v>
      </c>
      <c r="H18" s="291" t="s">
        <v>236</v>
      </c>
    </row>
    <row r="19" spans="1:8" ht="89.25" x14ac:dyDescent="0.2">
      <c r="A19" s="318">
        <v>14</v>
      </c>
      <c r="B19" s="293" t="s">
        <v>474</v>
      </c>
      <c r="C19" s="293" t="s">
        <v>11</v>
      </c>
      <c r="D19" s="294" t="s">
        <v>228</v>
      </c>
      <c r="E19" s="297" t="s">
        <v>1419</v>
      </c>
      <c r="F19" s="291" t="s">
        <v>14</v>
      </c>
      <c r="G19" s="289" t="s">
        <v>550</v>
      </c>
      <c r="H19" s="290" t="s">
        <v>235</v>
      </c>
    </row>
    <row r="20" spans="1:8" ht="46.15" customHeight="1" x14ac:dyDescent="0.2">
      <c r="A20" s="318">
        <v>15</v>
      </c>
      <c r="B20" s="293" t="s">
        <v>475</v>
      </c>
      <c r="C20" s="293" t="s">
        <v>11</v>
      </c>
      <c r="D20" s="294" t="s">
        <v>228</v>
      </c>
      <c r="E20" s="297" t="s">
        <v>476</v>
      </c>
      <c r="F20" s="291" t="s">
        <v>15</v>
      </c>
      <c r="G20" s="289" t="s">
        <v>43</v>
      </c>
      <c r="H20" s="290" t="s">
        <v>15</v>
      </c>
    </row>
    <row r="21" spans="1:8" ht="30.6" customHeight="1" x14ac:dyDescent="0.2">
      <c r="A21" s="318">
        <v>16</v>
      </c>
      <c r="B21" s="293" t="s">
        <v>287</v>
      </c>
      <c r="C21" s="293" t="s">
        <v>11</v>
      </c>
      <c r="D21" s="294" t="s">
        <v>228</v>
      </c>
      <c r="E21" s="295" t="s">
        <v>288</v>
      </c>
      <c r="F21" s="292" t="s">
        <v>15</v>
      </c>
      <c r="G21" s="289" t="s">
        <v>43</v>
      </c>
      <c r="H21" s="290" t="s">
        <v>15</v>
      </c>
    </row>
    <row r="22" spans="1:8" ht="48.6" customHeight="1" x14ac:dyDescent="0.2">
      <c r="A22" s="318">
        <v>17</v>
      </c>
      <c r="B22" s="293" t="s">
        <v>477</v>
      </c>
      <c r="C22" s="293" t="s">
        <v>11</v>
      </c>
      <c r="D22" s="294" t="s">
        <v>228</v>
      </c>
      <c r="E22" s="295" t="s">
        <v>1420</v>
      </c>
      <c r="F22" s="292" t="s">
        <v>15</v>
      </c>
      <c r="G22" s="289" t="s">
        <v>43</v>
      </c>
      <c r="H22" s="290" t="s">
        <v>15</v>
      </c>
    </row>
    <row r="23" spans="1:8" ht="51" x14ac:dyDescent="0.2">
      <c r="A23" s="318">
        <v>18</v>
      </c>
      <c r="B23" s="293" t="s">
        <v>478</v>
      </c>
      <c r="C23" s="293" t="s">
        <v>11</v>
      </c>
      <c r="D23" s="294" t="s">
        <v>228</v>
      </c>
      <c r="E23" s="296" t="s">
        <v>1421</v>
      </c>
      <c r="F23" s="288" t="s">
        <v>15</v>
      </c>
      <c r="G23" s="289" t="s">
        <v>43</v>
      </c>
      <c r="H23" s="290" t="s">
        <v>15</v>
      </c>
    </row>
    <row r="24" spans="1:8" ht="63.75" x14ac:dyDescent="0.2">
      <c r="A24" s="318">
        <v>19</v>
      </c>
      <c r="B24" s="293" t="s">
        <v>479</v>
      </c>
      <c r="C24" s="293" t="s">
        <v>11</v>
      </c>
      <c r="D24" s="294" t="s">
        <v>228</v>
      </c>
      <c r="E24" s="297" t="s">
        <v>1422</v>
      </c>
      <c r="F24" s="291" t="s">
        <v>15</v>
      </c>
      <c r="G24" s="289" t="s">
        <v>43</v>
      </c>
      <c r="H24" s="290" t="s">
        <v>15</v>
      </c>
    </row>
    <row r="25" spans="1:8" ht="33" customHeight="1" x14ac:dyDescent="0.2">
      <c r="A25" s="318">
        <v>20</v>
      </c>
      <c r="B25" s="293" t="s">
        <v>289</v>
      </c>
      <c r="C25" s="293" t="s">
        <v>11</v>
      </c>
      <c r="D25" s="294" t="s">
        <v>228</v>
      </c>
      <c r="E25" s="295" t="s">
        <v>290</v>
      </c>
      <c r="F25" s="292" t="s">
        <v>15</v>
      </c>
      <c r="G25" s="289" t="s">
        <v>43</v>
      </c>
      <c r="H25" s="292" t="s">
        <v>15</v>
      </c>
    </row>
    <row r="26" spans="1:8" ht="38.25" x14ac:dyDescent="0.2">
      <c r="A26" s="318">
        <v>21</v>
      </c>
      <c r="B26" s="293" t="s">
        <v>291</v>
      </c>
      <c r="C26" s="293" t="s">
        <v>11</v>
      </c>
      <c r="D26" s="294" t="s">
        <v>228</v>
      </c>
      <c r="E26" s="295" t="s">
        <v>1423</v>
      </c>
      <c r="F26" s="292" t="s">
        <v>15</v>
      </c>
      <c r="G26" s="289" t="s">
        <v>43</v>
      </c>
      <c r="H26" s="292" t="s">
        <v>15</v>
      </c>
    </row>
    <row r="27" spans="1:8" ht="36" customHeight="1" x14ac:dyDescent="0.2">
      <c r="A27" s="318">
        <v>22</v>
      </c>
      <c r="B27" s="293" t="s">
        <v>480</v>
      </c>
      <c r="C27" s="293" t="s">
        <v>11</v>
      </c>
      <c r="D27" s="294" t="s">
        <v>228</v>
      </c>
      <c r="E27" s="296" t="s">
        <v>1424</v>
      </c>
      <c r="F27" s="292" t="s">
        <v>15</v>
      </c>
      <c r="G27" s="289" t="s">
        <v>43</v>
      </c>
      <c r="H27" s="292" t="s">
        <v>15</v>
      </c>
    </row>
    <row r="28" spans="1:8" ht="57" customHeight="1" x14ac:dyDescent="0.2">
      <c r="A28" s="318">
        <v>23</v>
      </c>
      <c r="B28" s="293" t="s">
        <v>292</v>
      </c>
      <c r="C28" s="293" t="s">
        <v>11</v>
      </c>
      <c r="D28" s="294" t="s">
        <v>228</v>
      </c>
      <c r="E28" s="297" t="s">
        <v>293</v>
      </c>
      <c r="F28" s="291" t="s">
        <v>15</v>
      </c>
      <c r="G28" s="289" t="s">
        <v>43</v>
      </c>
      <c r="H28" s="292" t="s">
        <v>15</v>
      </c>
    </row>
    <row r="29" spans="1:8" ht="52.9" customHeight="1" x14ac:dyDescent="0.2">
      <c r="A29" s="318">
        <v>24</v>
      </c>
      <c r="B29" s="293" t="s">
        <v>481</v>
      </c>
      <c r="C29" s="293" t="s">
        <v>11</v>
      </c>
      <c r="D29" s="294" t="s">
        <v>228</v>
      </c>
      <c r="E29" s="297" t="s">
        <v>482</v>
      </c>
      <c r="F29" s="292" t="s">
        <v>15</v>
      </c>
      <c r="G29" s="289" t="s">
        <v>43</v>
      </c>
      <c r="H29" s="290" t="s">
        <v>15</v>
      </c>
    </row>
    <row r="30" spans="1:8" ht="34.9" customHeight="1" x14ac:dyDescent="0.2">
      <c r="A30" s="318">
        <v>25</v>
      </c>
      <c r="B30" s="293" t="s">
        <v>483</v>
      </c>
      <c r="C30" s="293" t="s">
        <v>11</v>
      </c>
      <c r="D30" s="294" t="s">
        <v>228</v>
      </c>
      <c r="E30" s="297" t="s">
        <v>484</v>
      </c>
      <c r="F30" s="292" t="s">
        <v>15</v>
      </c>
      <c r="G30" s="289" t="s">
        <v>43</v>
      </c>
      <c r="H30" s="290" t="s">
        <v>15</v>
      </c>
    </row>
    <row r="31" spans="1:8" ht="37.15" customHeight="1" x14ac:dyDescent="0.2">
      <c r="A31" s="318">
        <v>26</v>
      </c>
      <c r="B31" s="293" t="s">
        <v>485</v>
      </c>
      <c r="C31" s="293" t="s">
        <v>11</v>
      </c>
      <c r="D31" s="294" t="s">
        <v>228</v>
      </c>
      <c r="E31" s="297" t="s">
        <v>486</v>
      </c>
      <c r="F31" s="288" t="s">
        <v>15</v>
      </c>
      <c r="G31" s="289" t="s">
        <v>43</v>
      </c>
      <c r="H31" s="290" t="s">
        <v>15</v>
      </c>
    </row>
    <row r="32" spans="1:8" ht="32.450000000000003" customHeight="1" x14ac:dyDescent="0.2">
      <c r="A32" s="318">
        <v>27</v>
      </c>
      <c r="B32" s="293" t="s">
        <v>487</v>
      </c>
      <c r="C32" s="293" t="s">
        <v>11</v>
      </c>
      <c r="D32" s="294" t="s">
        <v>228</v>
      </c>
      <c r="E32" s="297" t="s">
        <v>592</v>
      </c>
      <c r="F32" s="291" t="s">
        <v>15</v>
      </c>
      <c r="G32" s="289" t="s">
        <v>43</v>
      </c>
      <c r="H32" s="290" t="s">
        <v>15</v>
      </c>
    </row>
    <row r="33" spans="1:8" ht="51" x14ac:dyDescent="0.2">
      <c r="A33" s="318">
        <v>28</v>
      </c>
      <c r="B33" s="293" t="s">
        <v>488</v>
      </c>
      <c r="C33" s="293" t="s">
        <v>11</v>
      </c>
      <c r="D33" s="294" t="s">
        <v>228</v>
      </c>
      <c r="E33" s="297" t="s">
        <v>489</v>
      </c>
      <c r="F33" s="292" t="s">
        <v>15</v>
      </c>
      <c r="G33" s="289" t="s">
        <v>43</v>
      </c>
      <c r="H33" s="290" t="s">
        <v>15</v>
      </c>
    </row>
    <row r="34" spans="1:8" ht="61.15" customHeight="1" x14ac:dyDescent="0.2">
      <c r="A34" s="318">
        <v>29</v>
      </c>
      <c r="B34" s="293" t="s">
        <v>621</v>
      </c>
      <c r="C34" s="293" t="s">
        <v>11</v>
      </c>
      <c r="D34" s="294" t="s">
        <v>228</v>
      </c>
      <c r="E34" s="295" t="s">
        <v>1652</v>
      </c>
      <c r="F34" s="292" t="s">
        <v>15</v>
      </c>
      <c r="G34" s="287" t="s">
        <v>43</v>
      </c>
      <c r="H34" s="292" t="s">
        <v>15</v>
      </c>
    </row>
    <row r="35" spans="1:8" ht="56.45" customHeight="1" x14ac:dyDescent="0.2">
      <c r="A35" s="318">
        <v>30</v>
      </c>
      <c r="B35" s="293" t="s">
        <v>490</v>
      </c>
      <c r="C35" s="293" t="s">
        <v>11</v>
      </c>
      <c r="D35" s="294" t="s">
        <v>228</v>
      </c>
      <c r="E35" s="295" t="s">
        <v>593</v>
      </c>
      <c r="F35" s="292" t="s">
        <v>15</v>
      </c>
      <c r="G35" s="287" t="s">
        <v>43</v>
      </c>
      <c r="H35" s="292" t="s">
        <v>15</v>
      </c>
    </row>
    <row r="36" spans="1:8" ht="38.25" x14ac:dyDescent="0.2">
      <c r="A36" s="318">
        <v>31</v>
      </c>
      <c r="B36" s="293" t="s">
        <v>294</v>
      </c>
      <c r="C36" s="293" t="s">
        <v>11</v>
      </c>
      <c r="D36" s="294" t="s">
        <v>228</v>
      </c>
      <c r="E36" s="295" t="s">
        <v>1425</v>
      </c>
      <c r="F36" s="292" t="s">
        <v>15</v>
      </c>
      <c r="G36" s="287" t="s">
        <v>43</v>
      </c>
      <c r="H36" s="292" t="s">
        <v>15</v>
      </c>
    </row>
    <row r="37" spans="1:8" ht="38.25" x14ac:dyDescent="0.2">
      <c r="A37" s="318">
        <v>32</v>
      </c>
      <c r="B37" s="293" t="s">
        <v>491</v>
      </c>
      <c r="C37" s="293" t="s">
        <v>11</v>
      </c>
      <c r="D37" s="294" t="s">
        <v>228</v>
      </c>
      <c r="E37" s="295" t="s">
        <v>492</v>
      </c>
      <c r="F37" s="292" t="s">
        <v>15</v>
      </c>
      <c r="G37" s="287" t="s">
        <v>43</v>
      </c>
      <c r="H37" s="292" t="s">
        <v>15</v>
      </c>
    </row>
    <row r="38" spans="1:8" ht="117" customHeight="1" x14ac:dyDescent="0.2">
      <c r="A38" s="318">
        <v>33</v>
      </c>
      <c r="B38" s="293" t="s">
        <v>493</v>
      </c>
      <c r="C38" s="293" t="s">
        <v>11</v>
      </c>
      <c r="D38" s="294" t="s">
        <v>494</v>
      </c>
      <c r="E38" s="295" t="s">
        <v>495</v>
      </c>
      <c r="F38" s="292" t="s">
        <v>14</v>
      </c>
      <c r="G38" s="287" t="s">
        <v>545</v>
      </c>
      <c r="H38" s="292" t="s">
        <v>236</v>
      </c>
    </row>
    <row r="39" spans="1:8" ht="48.6" customHeight="1" x14ac:dyDescent="0.2">
      <c r="A39" s="318">
        <v>34</v>
      </c>
      <c r="B39" s="293" t="s">
        <v>496</v>
      </c>
      <c r="C39" s="293" t="s">
        <v>11</v>
      </c>
      <c r="D39" s="294" t="s">
        <v>497</v>
      </c>
      <c r="E39" s="287" t="s">
        <v>1426</v>
      </c>
      <c r="F39" s="292" t="s">
        <v>14</v>
      </c>
      <c r="G39" s="287" t="s">
        <v>546</v>
      </c>
      <c r="H39" s="292" t="s">
        <v>236</v>
      </c>
    </row>
    <row r="40" spans="1:8" ht="90" customHeight="1" x14ac:dyDescent="0.2">
      <c r="A40" s="318">
        <v>35</v>
      </c>
      <c r="B40" s="298" t="s">
        <v>498</v>
      </c>
      <c r="C40" s="293" t="s">
        <v>11</v>
      </c>
      <c r="D40" s="294" t="s">
        <v>228</v>
      </c>
      <c r="E40" s="287" t="s">
        <v>1427</v>
      </c>
      <c r="F40" s="292" t="s">
        <v>14</v>
      </c>
      <c r="G40" s="287" t="s">
        <v>594</v>
      </c>
      <c r="H40" s="292" t="s">
        <v>236</v>
      </c>
    </row>
    <row r="41" spans="1:8" ht="156.6" customHeight="1" x14ac:dyDescent="0.2">
      <c r="A41" s="318">
        <v>36</v>
      </c>
      <c r="B41" s="298" t="s">
        <v>499</v>
      </c>
      <c r="C41" s="293" t="s">
        <v>11</v>
      </c>
      <c r="D41" s="294" t="s">
        <v>230</v>
      </c>
      <c r="E41" s="287" t="s">
        <v>1428</v>
      </c>
      <c r="F41" s="292" t="s">
        <v>14</v>
      </c>
      <c r="G41" s="287" t="s">
        <v>594</v>
      </c>
      <c r="H41" s="292" t="s">
        <v>236</v>
      </c>
    </row>
    <row r="42" spans="1:8" ht="185.45" customHeight="1" x14ac:dyDescent="0.2">
      <c r="A42" s="318">
        <v>37</v>
      </c>
      <c r="B42" s="298" t="s">
        <v>500</v>
      </c>
      <c r="C42" s="293" t="s">
        <v>11</v>
      </c>
      <c r="D42" s="294" t="s">
        <v>228</v>
      </c>
      <c r="E42" s="287" t="s">
        <v>1429</v>
      </c>
      <c r="F42" s="292" t="s">
        <v>15</v>
      </c>
      <c r="G42" s="299" t="s">
        <v>43</v>
      </c>
      <c r="H42" s="292" t="s">
        <v>15</v>
      </c>
    </row>
    <row r="43" spans="1:8" ht="114.6" customHeight="1" x14ac:dyDescent="0.2">
      <c r="A43" s="318">
        <v>38</v>
      </c>
      <c r="B43" s="298" t="s">
        <v>501</v>
      </c>
      <c r="C43" s="293" t="s">
        <v>11</v>
      </c>
      <c r="D43" s="294" t="s">
        <v>230</v>
      </c>
      <c r="E43" s="287" t="s">
        <v>1430</v>
      </c>
      <c r="F43" s="292" t="s">
        <v>15</v>
      </c>
      <c r="G43" s="287" t="s">
        <v>43</v>
      </c>
      <c r="H43" s="292" t="s">
        <v>15</v>
      </c>
    </row>
    <row r="44" spans="1:8" ht="280.5" x14ac:dyDescent="0.2">
      <c r="A44" s="318">
        <v>39</v>
      </c>
      <c r="B44" s="300" t="s">
        <v>502</v>
      </c>
      <c r="C44" s="293" t="s">
        <v>11</v>
      </c>
      <c r="D44" s="294" t="s">
        <v>228</v>
      </c>
      <c r="E44" s="287" t="s">
        <v>1431</v>
      </c>
      <c r="F44" s="292" t="s">
        <v>14</v>
      </c>
      <c r="G44" s="287" t="s">
        <v>574</v>
      </c>
      <c r="H44" s="292" t="s">
        <v>236</v>
      </c>
    </row>
    <row r="45" spans="1:8" ht="255" x14ac:dyDescent="0.2">
      <c r="A45" s="318">
        <v>40</v>
      </c>
      <c r="B45" s="300" t="s">
        <v>503</v>
      </c>
      <c r="C45" s="293" t="s">
        <v>11</v>
      </c>
      <c r="D45" s="294" t="s">
        <v>230</v>
      </c>
      <c r="E45" s="287" t="s">
        <v>1432</v>
      </c>
      <c r="F45" s="292" t="s">
        <v>14</v>
      </c>
      <c r="G45" s="287" t="s">
        <v>574</v>
      </c>
      <c r="H45" s="292" t="s">
        <v>236</v>
      </c>
    </row>
    <row r="46" spans="1:8" ht="127.5" x14ac:dyDescent="0.2">
      <c r="A46" s="318">
        <v>41</v>
      </c>
      <c r="B46" s="301" t="s">
        <v>504</v>
      </c>
      <c r="C46" s="293" t="s">
        <v>11</v>
      </c>
      <c r="D46" s="294" t="s">
        <v>228</v>
      </c>
      <c r="E46" s="287" t="s">
        <v>1433</v>
      </c>
      <c r="F46" s="292" t="s">
        <v>14</v>
      </c>
      <c r="G46" s="287" t="s">
        <v>1653</v>
      </c>
      <c r="H46" s="292" t="s">
        <v>15</v>
      </c>
    </row>
    <row r="47" spans="1:8" ht="160.15" customHeight="1" x14ac:dyDescent="0.2">
      <c r="A47" s="318">
        <v>42</v>
      </c>
      <c r="B47" s="300" t="s">
        <v>505</v>
      </c>
      <c r="C47" s="293" t="s">
        <v>11</v>
      </c>
      <c r="D47" s="294" t="s">
        <v>230</v>
      </c>
      <c r="E47" s="287" t="s">
        <v>1434</v>
      </c>
      <c r="F47" s="292" t="s">
        <v>15</v>
      </c>
      <c r="G47" s="287" t="s">
        <v>43</v>
      </c>
      <c r="H47" s="292" t="s">
        <v>15</v>
      </c>
    </row>
    <row r="48" spans="1:8" ht="158.44999999999999" customHeight="1" x14ac:dyDescent="0.2">
      <c r="A48" s="318">
        <v>43</v>
      </c>
      <c r="B48" s="300" t="s">
        <v>506</v>
      </c>
      <c r="C48" s="293" t="s">
        <v>11</v>
      </c>
      <c r="D48" s="294" t="s">
        <v>228</v>
      </c>
      <c r="E48" s="287" t="s">
        <v>1435</v>
      </c>
      <c r="F48" s="292" t="s">
        <v>14</v>
      </c>
      <c r="G48" s="287" t="s">
        <v>575</v>
      </c>
      <c r="H48" s="292" t="s">
        <v>236</v>
      </c>
    </row>
    <row r="49" spans="1:8" ht="187.9" customHeight="1" x14ac:dyDescent="0.2">
      <c r="A49" s="318">
        <v>44</v>
      </c>
      <c r="B49" s="300" t="s">
        <v>507</v>
      </c>
      <c r="C49" s="293" t="s">
        <v>11</v>
      </c>
      <c r="D49" s="294" t="s">
        <v>228</v>
      </c>
      <c r="E49" s="287" t="s">
        <v>508</v>
      </c>
      <c r="F49" s="292" t="s">
        <v>14</v>
      </c>
      <c r="G49" s="287" t="s">
        <v>576</v>
      </c>
      <c r="H49" s="292" t="s">
        <v>14</v>
      </c>
    </row>
    <row r="50" spans="1:8" ht="75" customHeight="1" x14ac:dyDescent="0.2">
      <c r="A50" s="318">
        <v>45</v>
      </c>
      <c r="B50" s="300" t="s">
        <v>509</v>
      </c>
      <c r="C50" s="293" t="s">
        <v>11</v>
      </c>
      <c r="D50" s="294" t="s">
        <v>230</v>
      </c>
      <c r="E50" s="287" t="s">
        <v>510</v>
      </c>
      <c r="F50" s="292" t="s">
        <v>15</v>
      </c>
      <c r="G50" s="287" t="s">
        <v>43</v>
      </c>
      <c r="H50" s="292" t="s">
        <v>15</v>
      </c>
    </row>
    <row r="51" spans="1:8" ht="76.150000000000006" customHeight="1" x14ac:dyDescent="0.2">
      <c r="A51" s="318">
        <v>46</v>
      </c>
      <c r="B51" s="293" t="s">
        <v>295</v>
      </c>
      <c r="C51" s="293" t="s">
        <v>11</v>
      </c>
      <c r="D51" s="294" t="s">
        <v>228</v>
      </c>
      <c r="E51" s="296" t="s">
        <v>1437</v>
      </c>
      <c r="F51" s="292" t="s">
        <v>14</v>
      </c>
      <c r="G51" s="287" t="s">
        <v>577</v>
      </c>
      <c r="H51" s="292" t="s">
        <v>236</v>
      </c>
    </row>
    <row r="52" spans="1:8" ht="79.900000000000006" customHeight="1" x14ac:dyDescent="0.2">
      <c r="A52" s="318">
        <v>47</v>
      </c>
      <c r="B52" s="293" t="s">
        <v>296</v>
      </c>
      <c r="C52" s="293" t="s">
        <v>11</v>
      </c>
      <c r="D52" s="294" t="s">
        <v>230</v>
      </c>
      <c r="E52" s="297" t="s">
        <v>1438</v>
      </c>
      <c r="F52" s="292" t="s">
        <v>14</v>
      </c>
      <c r="G52" s="287" t="s">
        <v>578</v>
      </c>
      <c r="H52" s="292" t="s">
        <v>236</v>
      </c>
    </row>
    <row r="53" spans="1:8" ht="76.5" x14ac:dyDescent="0.2">
      <c r="A53" s="318">
        <v>48</v>
      </c>
      <c r="B53" s="293" t="s">
        <v>297</v>
      </c>
      <c r="C53" s="293" t="s">
        <v>11</v>
      </c>
      <c r="D53" s="294" t="s">
        <v>228</v>
      </c>
      <c r="E53" s="295" t="s">
        <v>1436</v>
      </c>
      <c r="F53" s="292" t="s">
        <v>14</v>
      </c>
      <c r="G53" s="287" t="s">
        <v>577</v>
      </c>
      <c r="H53" s="292" t="s">
        <v>236</v>
      </c>
    </row>
    <row r="54" spans="1:8" ht="90" customHeight="1" x14ac:dyDescent="0.2">
      <c r="A54" s="318">
        <v>49</v>
      </c>
      <c r="B54" s="293" t="s">
        <v>298</v>
      </c>
      <c r="C54" s="293" t="s">
        <v>299</v>
      </c>
      <c r="D54" s="294" t="s">
        <v>230</v>
      </c>
      <c r="E54" s="295" t="s">
        <v>1439</v>
      </c>
      <c r="F54" s="292" t="s">
        <v>14</v>
      </c>
      <c r="G54" s="287" t="s">
        <v>579</v>
      </c>
      <c r="H54" s="292" t="s">
        <v>236</v>
      </c>
    </row>
    <row r="55" spans="1:8" ht="116.45" customHeight="1" x14ac:dyDescent="0.2">
      <c r="A55" s="318">
        <v>50</v>
      </c>
      <c r="B55" s="293" t="s">
        <v>300</v>
      </c>
      <c r="C55" s="293" t="s">
        <v>11</v>
      </c>
      <c r="D55" s="294" t="s">
        <v>228</v>
      </c>
      <c r="E55" s="296" t="s">
        <v>1607</v>
      </c>
      <c r="F55" s="292" t="s">
        <v>14</v>
      </c>
      <c r="G55" s="287" t="s">
        <v>577</v>
      </c>
      <c r="H55" s="292" t="s">
        <v>236</v>
      </c>
    </row>
    <row r="56" spans="1:8" ht="104.45" customHeight="1" x14ac:dyDescent="0.2">
      <c r="A56" s="318">
        <v>51</v>
      </c>
      <c r="B56" s="293" t="s">
        <v>301</v>
      </c>
      <c r="C56" s="293" t="s">
        <v>11</v>
      </c>
      <c r="D56" s="294" t="s">
        <v>230</v>
      </c>
      <c r="E56" s="297" t="s">
        <v>511</v>
      </c>
      <c r="F56" s="292" t="s">
        <v>14</v>
      </c>
      <c r="G56" s="287" t="s">
        <v>577</v>
      </c>
      <c r="H56" s="292" t="s">
        <v>236</v>
      </c>
    </row>
    <row r="57" spans="1:8" ht="109.15" customHeight="1" x14ac:dyDescent="0.2">
      <c r="A57" s="318">
        <v>52</v>
      </c>
      <c r="B57" s="293" t="s">
        <v>302</v>
      </c>
      <c r="C57" s="293" t="s">
        <v>11</v>
      </c>
      <c r="D57" s="294" t="s">
        <v>228</v>
      </c>
      <c r="E57" s="295" t="s">
        <v>1608</v>
      </c>
      <c r="F57" s="292" t="s">
        <v>14</v>
      </c>
      <c r="G57" s="287" t="s">
        <v>577</v>
      </c>
      <c r="H57" s="292" t="s">
        <v>236</v>
      </c>
    </row>
    <row r="58" spans="1:8" ht="63.75" x14ac:dyDescent="0.2">
      <c r="A58" s="318">
        <v>53</v>
      </c>
      <c r="B58" s="293" t="s">
        <v>303</v>
      </c>
      <c r="C58" s="293" t="s">
        <v>11</v>
      </c>
      <c r="D58" s="294" t="s">
        <v>230</v>
      </c>
      <c r="E58" s="295" t="s">
        <v>512</v>
      </c>
      <c r="F58" s="292" t="s">
        <v>14</v>
      </c>
      <c r="G58" s="287" t="s">
        <v>579</v>
      </c>
      <c r="H58" s="292" t="s">
        <v>236</v>
      </c>
    </row>
    <row r="59" spans="1:8" ht="105.6" customHeight="1" x14ac:dyDescent="0.2">
      <c r="A59" s="318">
        <v>54</v>
      </c>
      <c r="B59" s="293" t="s">
        <v>304</v>
      </c>
      <c r="C59" s="293" t="s">
        <v>11</v>
      </c>
      <c r="D59" s="294" t="s">
        <v>228</v>
      </c>
      <c r="E59" s="296" t="s">
        <v>1440</v>
      </c>
      <c r="F59" s="292" t="s">
        <v>14</v>
      </c>
      <c r="G59" s="287" t="s">
        <v>577</v>
      </c>
      <c r="H59" s="292" t="s">
        <v>236</v>
      </c>
    </row>
    <row r="60" spans="1:8" ht="63.6" customHeight="1" x14ac:dyDescent="0.2">
      <c r="A60" s="318">
        <v>55</v>
      </c>
      <c r="B60" s="293" t="s">
        <v>305</v>
      </c>
      <c r="C60" s="293" t="s">
        <v>11</v>
      </c>
      <c r="D60" s="294" t="s">
        <v>230</v>
      </c>
      <c r="E60" s="297" t="s">
        <v>513</v>
      </c>
      <c r="F60" s="292" t="s">
        <v>14</v>
      </c>
      <c r="G60" s="287" t="s">
        <v>579</v>
      </c>
      <c r="H60" s="292" t="s">
        <v>236</v>
      </c>
    </row>
    <row r="61" spans="1:8" ht="61.9" customHeight="1" x14ac:dyDescent="0.2">
      <c r="A61" s="318">
        <v>56</v>
      </c>
      <c r="B61" s="293" t="s">
        <v>306</v>
      </c>
      <c r="C61" s="293" t="s">
        <v>11</v>
      </c>
      <c r="D61" s="294" t="s">
        <v>228</v>
      </c>
      <c r="E61" s="295" t="s">
        <v>1441</v>
      </c>
      <c r="F61" s="292" t="s">
        <v>14</v>
      </c>
      <c r="G61" s="287" t="s">
        <v>577</v>
      </c>
      <c r="H61" s="292" t="s">
        <v>236</v>
      </c>
    </row>
    <row r="62" spans="1:8" ht="132" customHeight="1" x14ac:dyDescent="0.2">
      <c r="A62" s="318">
        <v>57</v>
      </c>
      <c r="B62" s="293" t="s">
        <v>307</v>
      </c>
      <c r="C62" s="293" t="s">
        <v>11</v>
      </c>
      <c r="D62" s="294" t="s">
        <v>230</v>
      </c>
      <c r="E62" s="296" t="s">
        <v>1442</v>
      </c>
      <c r="F62" s="292" t="s">
        <v>14</v>
      </c>
      <c r="G62" s="287" t="s">
        <v>579</v>
      </c>
      <c r="H62" s="292" t="s">
        <v>236</v>
      </c>
    </row>
    <row r="63" spans="1:8" ht="102" x14ac:dyDescent="0.2">
      <c r="A63" s="318">
        <v>58</v>
      </c>
      <c r="B63" s="293" t="s">
        <v>596</v>
      </c>
      <c r="C63" s="293" t="s">
        <v>11</v>
      </c>
      <c r="D63" s="294" t="s">
        <v>228</v>
      </c>
      <c r="E63" s="297" t="s">
        <v>1443</v>
      </c>
      <c r="F63" s="292" t="s">
        <v>14</v>
      </c>
      <c r="G63" s="287" t="s">
        <v>577</v>
      </c>
      <c r="H63" s="292" t="s">
        <v>236</v>
      </c>
    </row>
    <row r="64" spans="1:8" ht="117.6" customHeight="1" x14ac:dyDescent="0.2">
      <c r="A64" s="318">
        <v>59</v>
      </c>
      <c r="B64" s="293" t="s">
        <v>514</v>
      </c>
      <c r="C64" s="293" t="s">
        <v>11</v>
      </c>
      <c r="D64" s="294" t="s">
        <v>497</v>
      </c>
      <c r="E64" s="297" t="s">
        <v>595</v>
      </c>
      <c r="F64" s="292" t="s">
        <v>14</v>
      </c>
      <c r="G64" s="287" t="s">
        <v>579</v>
      </c>
      <c r="H64" s="292" t="s">
        <v>236</v>
      </c>
    </row>
    <row r="65" spans="1:8" ht="142.9" customHeight="1" x14ac:dyDescent="0.2">
      <c r="A65" s="318">
        <v>60</v>
      </c>
      <c r="B65" s="293" t="s">
        <v>515</v>
      </c>
      <c r="C65" s="293" t="s">
        <v>11</v>
      </c>
      <c r="D65" s="294" t="s">
        <v>228</v>
      </c>
      <c r="E65" s="295" t="s">
        <v>1444</v>
      </c>
      <c r="F65" s="292" t="s">
        <v>14</v>
      </c>
      <c r="G65" s="287" t="s">
        <v>577</v>
      </c>
      <c r="H65" s="292" t="s">
        <v>236</v>
      </c>
    </row>
    <row r="66" spans="1:8" ht="38.25" x14ac:dyDescent="0.2">
      <c r="A66" s="318">
        <v>61</v>
      </c>
      <c r="B66" s="293" t="s">
        <v>1445</v>
      </c>
      <c r="C66" s="293" t="s">
        <v>11</v>
      </c>
      <c r="D66" s="294" t="s">
        <v>230</v>
      </c>
      <c r="E66" s="296" t="s">
        <v>516</v>
      </c>
      <c r="F66" s="292" t="s">
        <v>14</v>
      </c>
      <c r="G66" s="287" t="s">
        <v>579</v>
      </c>
      <c r="H66" s="292" t="s">
        <v>236</v>
      </c>
    </row>
    <row r="67" spans="1:8" ht="76.5" x14ac:dyDescent="0.2">
      <c r="A67" s="318">
        <v>62</v>
      </c>
      <c r="B67" s="293" t="s">
        <v>308</v>
      </c>
      <c r="C67" s="293" t="s">
        <v>11</v>
      </c>
      <c r="D67" s="294" t="s">
        <v>228</v>
      </c>
      <c r="E67" s="295" t="s">
        <v>1446</v>
      </c>
      <c r="F67" s="292" t="s">
        <v>14</v>
      </c>
      <c r="G67" s="287" t="s">
        <v>577</v>
      </c>
      <c r="H67" s="292" t="s">
        <v>236</v>
      </c>
    </row>
    <row r="68" spans="1:8" ht="76.150000000000006" customHeight="1" x14ac:dyDescent="0.2">
      <c r="A68" s="318">
        <v>63</v>
      </c>
      <c r="B68" s="293" t="s">
        <v>309</v>
      </c>
      <c r="C68" s="293" t="s">
        <v>11</v>
      </c>
      <c r="D68" s="294" t="s">
        <v>230</v>
      </c>
      <c r="E68" s="296" t="s">
        <v>517</v>
      </c>
      <c r="F68" s="292" t="s">
        <v>14</v>
      </c>
      <c r="G68" s="287" t="s">
        <v>579</v>
      </c>
      <c r="H68" s="292" t="s">
        <v>236</v>
      </c>
    </row>
    <row r="69" spans="1:8" ht="100.15" customHeight="1" x14ac:dyDescent="0.2">
      <c r="A69" s="318">
        <v>64</v>
      </c>
      <c r="B69" s="293" t="s">
        <v>310</v>
      </c>
      <c r="C69" s="293" t="s">
        <v>11</v>
      </c>
      <c r="D69" s="294" t="s">
        <v>228</v>
      </c>
      <c r="E69" s="297" t="s">
        <v>1447</v>
      </c>
      <c r="F69" s="292" t="s">
        <v>14</v>
      </c>
      <c r="G69" s="287" t="s">
        <v>577</v>
      </c>
      <c r="H69" s="292" t="s">
        <v>236</v>
      </c>
    </row>
    <row r="70" spans="1:8" ht="103.9" customHeight="1" x14ac:dyDescent="0.2">
      <c r="A70" s="318">
        <v>65</v>
      </c>
      <c r="B70" s="293" t="s">
        <v>311</v>
      </c>
      <c r="C70" s="293" t="s">
        <v>11</v>
      </c>
      <c r="D70" s="294" t="s">
        <v>230</v>
      </c>
      <c r="E70" s="295" t="s">
        <v>1448</v>
      </c>
      <c r="F70" s="292" t="s">
        <v>14</v>
      </c>
      <c r="G70" s="287" t="s">
        <v>579</v>
      </c>
      <c r="H70" s="292" t="s">
        <v>236</v>
      </c>
    </row>
    <row r="71" spans="1:8" ht="130.15" customHeight="1" x14ac:dyDescent="0.2">
      <c r="A71" s="318">
        <v>66</v>
      </c>
      <c r="B71" s="293" t="s">
        <v>312</v>
      </c>
      <c r="C71" s="293" t="s">
        <v>11</v>
      </c>
      <c r="D71" s="294" t="s">
        <v>228</v>
      </c>
      <c r="E71" s="295" t="s">
        <v>1449</v>
      </c>
      <c r="F71" s="292" t="s">
        <v>14</v>
      </c>
      <c r="G71" s="287" t="s">
        <v>577</v>
      </c>
      <c r="H71" s="292" t="s">
        <v>236</v>
      </c>
    </row>
    <row r="72" spans="1:8" ht="75" customHeight="1" x14ac:dyDescent="0.2">
      <c r="A72" s="318">
        <v>67</v>
      </c>
      <c r="B72" s="293" t="s">
        <v>518</v>
      </c>
      <c r="C72" s="293" t="s">
        <v>11</v>
      </c>
      <c r="D72" s="294" t="s">
        <v>230</v>
      </c>
      <c r="E72" s="296" t="s">
        <v>1450</v>
      </c>
      <c r="F72" s="292" t="s">
        <v>14</v>
      </c>
      <c r="G72" s="287" t="s">
        <v>579</v>
      </c>
      <c r="H72" s="292" t="s">
        <v>236</v>
      </c>
    </row>
    <row r="73" spans="1:8" ht="50.45" customHeight="1" x14ac:dyDescent="0.2">
      <c r="A73" s="318">
        <v>68</v>
      </c>
      <c r="B73" s="293" t="s">
        <v>519</v>
      </c>
      <c r="C73" s="293" t="s">
        <v>11</v>
      </c>
      <c r="D73" s="294" t="s">
        <v>228</v>
      </c>
      <c r="E73" s="296" t="s">
        <v>1451</v>
      </c>
      <c r="F73" s="292" t="s">
        <v>14</v>
      </c>
      <c r="G73" s="287" t="s">
        <v>577</v>
      </c>
      <c r="H73" s="292" t="s">
        <v>236</v>
      </c>
    </row>
    <row r="74" spans="1:8" ht="199.15" customHeight="1" x14ac:dyDescent="0.2">
      <c r="A74" s="318">
        <v>69</v>
      </c>
      <c r="B74" s="293" t="s">
        <v>520</v>
      </c>
      <c r="C74" s="293" t="s">
        <v>11</v>
      </c>
      <c r="D74" s="294" t="s">
        <v>230</v>
      </c>
      <c r="E74" s="296" t="s">
        <v>1452</v>
      </c>
      <c r="F74" s="292" t="s">
        <v>14</v>
      </c>
      <c r="G74" s="287" t="s">
        <v>579</v>
      </c>
      <c r="H74" s="292" t="s">
        <v>236</v>
      </c>
    </row>
    <row r="75" spans="1:8" ht="131.44999999999999" customHeight="1" x14ac:dyDescent="0.2">
      <c r="A75" s="318">
        <v>70</v>
      </c>
      <c r="B75" s="293" t="s">
        <v>313</v>
      </c>
      <c r="C75" s="293" t="s">
        <v>11</v>
      </c>
      <c r="D75" s="294" t="s">
        <v>228</v>
      </c>
      <c r="E75" s="297" t="s">
        <v>1453</v>
      </c>
      <c r="F75" s="292" t="s">
        <v>14</v>
      </c>
      <c r="G75" s="287" t="s">
        <v>577</v>
      </c>
      <c r="H75" s="292" t="s">
        <v>236</v>
      </c>
    </row>
    <row r="76" spans="1:8" ht="63.6" customHeight="1" x14ac:dyDescent="0.2">
      <c r="A76" s="318">
        <v>71</v>
      </c>
      <c r="B76" s="293" t="s">
        <v>314</v>
      </c>
      <c r="C76" s="293" t="s">
        <v>11</v>
      </c>
      <c r="D76" s="294" t="s">
        <v>230</v>
      </c>
      <c r="E76" s="295" t="s">
        <v>521</v>
      </c>
      <c r="F76" s="292" t="s">
        <v>14</v>
      </c>
      <c r="G76" s="287" t="s">
        <v>579</v>
      </c>
      <c r="H76" s="292" t="s">
        <v>236</v>
      </c>
    </row>
    <row r="77" spans="1:8" ht="102.6" customHeight="1" x14ac:dyDescent="0.2">
      <c r="A77" s="318">
        <v>72</v>
      </c>
      <c r="B77" s="293" t="s">
        <v>315</v>
      </c>
      <c r="C77" s="293" t="s">
        <v>11</v>
      </c>
      <c r="D77" s="294" t="s">
        <v>228</v>
      </c>
      <c r="E77" s="295" t="s">
        <v>1454</v>
      </c>
      <c r="F77" s="292" t="s">
        <v>14</v>
      </c>
      <c r="G77" s="287" t="s">
        <v>577</v>
      </c>
      <c r="H77" s="292" t="s">
        <v>236</v>
      </c>
    </row>
    <row r="78" spans="1:8" ht="63" customHeight="1" x14ac:dyDescent="0.2">
      <c r="A78" s="318">
        <v>73</v>
      </c>
      <c r="B78" s="293" t="s">
        <v>316</v>
      </c>
      <c r="C78" s="293" t="s">
        <v>11</v>
      </c>
      <c r="D78" s="294" t="s">
        <v>230</v>
      </c>
      <c r="E78" s="296" t="s">
        <v>522</v>
      </c>
      <c r="F78" s="292" t="s">
        <v>14</v>
      </c>
      <c r="G78" s="287" t="s">
        <v>579</v>
      </c>
      <c r="H78" s="292" t="s">
        <v>236</v>
      </c>
    </row>
    <row r="79" spans="1:8" ht="103.15" customHeight="1" x14ac:dyDescent="0.2">
      <c r="A79" s="318">
        <v>74</v>
      </c>
      <c r="B79" s="293" t="s">
        <v>523</v>
      </c>
      <c r="C79" s="293" t="s">
        <v>11</v>
      </c>
      <c r="D79" s="294" t="s">
        <v>228</v>
      </c>
      <c r="E79" s="296" t="s">
        <v>524</v>
      </c>
      <c r="F79" s="292" t="s">
        <v>14</v>
      </c>
      <c r="G79" s="287" t="s">
        <v>577</v>
      </c>
      <c r="H79" s="292" t="s">
        <v>236</v>
      </c>
    </row>
    <row r="80" spans="1:8" ht="72.599999999999994" customHeight="1" x14ac:dyDescent="0.2">
      <c r="A80" s="318">
        <v>75</v>
      </c>
      <c r="B80" s="293" t="s">
        <v>317</v>
      </c>
      <c r="C80" s="293" t="s">
        <v>11</v>
      </c>
      <c r="D80" s="294" t="s">
        <v>228</v>
      </c>
      <c r="E80" s="297" t="s">
        <v>1455</v>
      </c>
      <c r="F80" s="292" t="s">
        <v>14</v>
      </c>
      <c r="G80" s="287" t="s">
        <v>577</v>
      </c>
      <c r="H80" s="292" t="s">
        <v>236</v>
      </c>
    </row>
    <row r="81" spans="1:8" ht="88.9" customHeight="1" x14ac:dyDescent="0.2">
      <c r="A81" s="318">
        <v>76</v>
      </c>
      <c r="B81" s="293" t="s">
        <v>1456</v>
      </c>
      <c r="C81" s="293" t="s">
        <v>11</v>
      </c>
      <c r="D81" s="294" t="s">
        <v>318</v>
      </c>
      <c r="E81" s="295" t="s">
        <v>1457</v>
      </c>
      <c r="F81" s="292" t="s">
        <v>14</v>
      </c>
      <c r="G81" s="287" t="s">
        <v>577</v>
      </c>
      <c r="H81" s="292" t="s">
        <v>236</v>
      </c>
    </row>
    <row r="82" spans="1:8" ht="63" customHeight="1" x14ac:dyDescent="0.2">
      <c r="A82" s="318">
        <v>77</v>
      </c>
      <c r="B82" s="293" t="s">
        <v>319</v>
      </c>
      <c r="C82" s="293" t="s">
        <v>299</v>
      </c>
      <c r="D82" s="294" t="s">
        <v>320</v>
      </c>
      <c r="E82" s="295" t="s">
        <v>1458</v>
      </c>
      <c r="F82" s="292" t="s">
        <v>14</v>
      </c>
      <c r="G82" s="287" t="s">
        <v>579</v>
      </c>
      <c r="H82" s="292" t="s">
        <v>236</v>
      </c>
    </row>
    <row r="83" spans="1:8" ht="189.6" customHeight="1" x14ac:dyDescent="0.2">
      <c r="A83" s="318">
        <v>78</v>
      </c>
      <c r="B83" s="293" t="s">
        <v>321</v>
      </c>
      <c r="C83" s="293" t="s">
        <v>11</v>
      </c>
      <c r="D83" s="294" t="s">
        <v>318</v>
      </c>
      <c r="E83" s="296" t="s">
        <v>1459</v>
      </c>
      <c r="F83" s="292" t="s">
        <v>14</v>
      </c>
      <c r="G83" s="287" t="s">
        <v>577</v>
      </c>
      <c r="H83" s="292" t="s">
        <v>236</v>
      </c>
    </row>
    <row r="84" spans="1:8" ht="144.6" customHeight="1" x14ac:dyDescent="0.2">
      <c r="A84" s="318">
        <v>79</v>
      </c>
      <c r="B84" s="293" t="s">
        <v>322</v>
      </c>
      <c r="C84" s="293" t="s">
        <v>299</v>
      </c>
      <c r="D84" s="294" t="s">
        <v>320</v>
      </c>
      <c r="E84" s="297" t="s">
        <v>1460</v>
      </c>
      <c r="F84" s="292" t="s">
        <v>14</v>
      </c>
      <c r="G84" s="287" t="s">
        <v>579</v>
      </c>
      <c r="H84" s="292" t="s">
        <v>236</v>
      </c>
    </row>
    <row r="85" spans="1:8" ht="100.9" customHeight="1" x14ac:dyDescent="0.2">
      <c r="A85" s="318">
        <v>80</v>
      </c>
      <c r="B85" s="293" t="s">
        <v>323</v>
      </c>
      <c r="C85" s="293" t="s">
        <v>11</v>
      </c>
      <c r="D85" s="294" t="s">
        <v>318</v>
      </c>
      <c r="E85" s="295" t="s">
        <v>1609</v>
      </c>
      <c r="F85" s="292" t="s">
        <v>14</v>
      </c>
      <c r="G85" s="287" t="s">
        <v>577</v>
      </c>
      <c r="H85" s="292" t="s">
        <v>236</v>
      </c>
    </row>
    <row r="86" spans="1:8" ht="46.15" customHeight="1" x14ac:dyDescent="0.2">
      <c r="A86" s="318">
        <v>81</v>
      </c>
      <c r="B86" s="293" t="s">
        <v>324</v>
      </c>
      <c r="C86" s="293" t="s">
        <v>11</v>
      </c>
      <c r="D86" s="294" t="s">
        <v>320</v>
      </c>
      <c r="E86" s="295" t="s">
        <v>525</v>
      </c>
      <c r="F86" s="292" t="s">
        <v>14</v>
      </c>
      <c r="G86" s="287" t="s">
        <v>579</v>
      </c>
      <c r="H86" s="292" t="s">
        <v>236</v>
      </c>
    </row>
    <row r="87" spans="1:8" ht="114" customHeight="1" x14ac:dyDescent="0.2">
      <c r="A87" s="318">
        <v>82</v>
      </c>
      <c r="B87" s="293" t="s">
        <v>325</v>
      </c>
      <c r="C87" s="293" t="s">
        <v>11</v>
      </c>
      <c r="D87" s="294" t="s">
        <v>318</v>
      </c>
      <c r="E87" s="296" t="s">
        <v>1461</v>
      </c>
      <c r="F87" s="292" t="s">
        <v>14</v>
      </c>
      <c r="G87" s="287" t="s">
        <v>577</v>
      </c>
      <c r="H87" s="292" t="s">
        <v>236</v>
      </c>
    </row>
    <row r="88" spans="1:8" ht="61.9" customHeight="1" x14ac:dyDescent="0.2">
      <c r="A88" s="318">
        <v>83</v>
      </c>
      <c r="B88" s="293" t="s">
        <v>326</v>
      </c>
      <c r="C88" s="293" t="s">
        <v>299</v>
      </c>
      <c r="D88" s="294" t="s">
        <v>320</v>
      </c>
      <c r="E88" s="297" t="s">
        <v>526</v>
      </c>
      <c r="F88" s="292" t="s">
        <v>14</v>
      </c>
      <c r="G88" s="287" t="s">
        <v>579</v>
      </c>
      <c r="H88" s="292" t="s">
        <v>236</v>
      </c>
    </row>
    <row r="89" spans="1:8" ht="78" customHeight="1" x14ac:dyDescent="0.2">
      <c r="A89" s="318">
        <v>84</v>
      </c>
      <c r="B89" s="293" t="s">
        <v>622</v>
      </c>
      <c r="C89" s="293" t="s">
        <v>11</v>
      </c>
      <c r="D89" s="294" t="s">
        <v>318</v>
      </c>
      <c r="E89" s="295" t="s">
        <v>1462</v>
      </c>
      <c r="F89" s="292" t="s">
        <v>14</v>
      </c>
      <c r="G89" s="287" t="s">
        <v>577</v>
      </c>
      <c r="H89" s="292" t="s">
        <v>236</v>
      </c>
    </row>
    <row r="90" spans="1:8" ht="74.45" customHeight="1" x14ac:dyDescent="0.2">
      <c r="A90" s="318">
        <v>85</v>
      </c>
      <c r="B90" s="293" t="s">
        <v>327</v>
      </c>
      <c r="C90" s="293" t="s">
        <v>299</v>
      </c>
      <c r="D90" s="294" t="s">
        <v>320</v>
      </c>
      <c r="E90" s="295" t="s">
        <v>1463</v>
      </c>
      <c r="F90" s="292" t="s">
        <v>14</v>
      </c>
      <c r="G90" s="287" t="s">
        <v>579</v>
      </c>
      <c r="H90" s="292" t="s">
        <v>14</v>
      </c>
    </row>
    <row r="91" spans="1:8" ht="74.45" customHeight="1" x14ac:dyDescent="0.2">
      <c r="A91" s="318">
        <v>86</v>
      </c>
      <c r="B91" s="293" t="s">
        <v>328</v>
      </c>
      <c r="C91" s="293" t="s">
        <v>11</v>
      </c>
      <c r="D91" s="294" t="s">
        <v>318</v>
      </c>
      <c r="E91" s="296" t="s">
        <v>1464</v>
      </c>
      <c r="F91" s="292" t="s">
        <v>14</v>
      </c>
      <c r="G91" s="287" t="s">
        <v>577</v>
      </c>
      <c r="H91" s="292" t="s">
        <v>236</v>
      </c>
    </row>
    <row r="92" spans="1:8" ht="71.45" customHeight="1" x14ac:dyDescent="0.2">
      <c r="A92" s="318">
        <v>87</v>
      </c>
      <c r="B92" s="293" t="s">
        <v>329</v>
      </c>
      <c r="C92" s="293" t="s">
        <v>299</v>
      </c>
      <c r="D92" s="294" t="s">
        <v>320</v>
      </c>
      <c r="E92" s="297" t="s">
        <v>1465</v>
      </c>
      <c r="F92" s="292" t="s">
        <v>14</v>
      </c>
      <c r="G92" s="287" t="s">
        <v>579</v>
      </c>
      <c r="H92" s="292" t="s">
        <v>236</v>
      </c>
    </row>
    <row r="93" spans="1:8" ht="102" x14ac:dyDescent="0.2">
      <c r="A93" s="318">
        <v>88</v>
      </c>
      <c r="B93" s="302" t="s">
        <v>623</v>
      </c>
      <c r="C93" s="293" t="s">
        <v>11</v>
      </c>
      <c r="D93" s="294" t="s">
        <v>318</v>
      </c>
      <c r="E93" s="295" t="s">
        <v>1466</v>
      </c>
      <c r="F93" s="292" t="s">
        <v>14</v>
      </c>
      <c r="G93" s="287" t="s">
        <v>577</v>
      </c>
      <c r="H93" s="292" t="s">
        <v>236</v>
      </c>
    </row>
    <row r="94" spans="1:8" ht="89.45" customHeight="1" x14ac:dyDescent="0.2">
      <c r="A94" s="318">
        <v>89</v>
      </c>
      <c r="B94" s="293" t="s">
        <v>330</v>
      </c>
      <c r="C94" s="293" t="s">
        <v>11</v>
      </c>
      <c r="D94" s="294" t="s">
        <v>320</v>
      </c>
      <c r="E94" s="296" t="s">
        <v>1467</v>
      </c>
      <c r="F94" s="292" t="s">
        <v>14</v>
      </c>
      <c r="G94" s="287" t="s">
        <v>579</v>
      </c>
      <c r="H94" s="292" t="s">
        <v>236</v>
      </c>
    </row>
    <row r="95" spans="1:8" ht="92.45" customHeight="1" x14ac:dyDescent="0.2">
      <c r="A95" s="318">
        <v>90</v>
      </c>
      <c r="B95" s="293" t="s">
        <v>624</v>
      </c>
      <c r="C95" s="293" t="s">
        <v>11</v>
      </c>
      <c r="D95" s="294" t="s">
        <v>318</v>
      </c>
      <c r="E95" s="297" t="s">
        <v>1468</v>
      </c>
      <c r="F95" s="292" t="s">
        <v>14</v>
      </c>
      <c r="G95" s="287" t="s">
        <v>577</v>
      </c>
      <c r="H95" s="292" t="s">
        <v>236</v>
      </c>
    </row>
    <row r="96" spans="1:8" ht="88.15" customHeight="1" x14ac:dyDescent="0.2">
      <c r="A96" s="318">
        <v>91</v>
      </c>
      <c r="B96" s="293" t="s">
        <v>331</v>
      </c>
      <c r="C96" s="293" t="s">
        <v>11</v>
      </c>
      <c r="D96" s="294" t="s">
        <v>320</v>
      </c>
      <c r="E96" s="295" t="s">
        <v>1469</v>
      </c>
      <c r="F96" s="292" t="s">
        <v>14</v>
      </c>
      <c r="G96" s="287" t="s">
        <v>579</v>
      </c>
      <c r="H96" s="292" t="s">
        <v>236</v>
      </c>
    </row>
    <row r="97" spans="1:8" ht="195" customHeight="1" x14ac:dyDescent="0.2">
      <c r="A97" s="318">
        <v>92</v>
      </c>
      <c r="B97" s="293" t="s">
        <v>625</v>
      </c>
      <c r="C97" s="293" t="s">
        <v>11</v>
      </c>
      <c r="D97" s="294" t="s">
        <v>318</v>
      </c>
      <c r="E97" s="296" t="s">
        <v>1470</v>
      </c>
      <c r="F97" s="292" t="s">
        <v>14</v>
      </c>
      <c r="G97" s="287" t="s">
        <v>577</v>
      </c>
      <c r="H97" s="292" t="s">
        <v>236</v>
      </c>
    </row>
    <row r="98" spans="1:8" ht="61.9" customHeight="1" x14ac:dyDescent="0.2">
      <c r="A98" s="318">
        <v>93</v>
      </c>
      <c r="B98" s="302" t="s">
        <v>580</v>
      </c>
      <c r="C98" s="293" t="s">
        <v>11</v>
      </c>
      <c r="D98" s="294" t="s">
        <v>320</v>
      </c>
      <c r="E98" s="295" t="s">
        <v>1471</v>
      </c>
      <c r="F98" s="292" t="s">
        <v>14</v>
      </c>
      <c r="G98" s="287" t="s">
        <v>579</v>
      </c>
      <c r="H98" s="292" t="s">
        <v>236</v>
      </c>
    </row>
    <row r="99" spans="1:8" ht="80.45" customHeight="1" x14ac:dyDescent="0.2">
      <c r="A99" s="318">
        <v>94</v>
      </c>
      <c r="B99" s="293" t="s">
        <v>332</v>
      </c>
      <c r="C99" s="293" t="s">
        <v>11</v>
      </c>
      <c r="D99" s="294" t="s">
        <v>318</v>
      </c>
      <c r="E99" s="296" t="s">
        <v>1472</v>
      </c>
      <c r="F99" s="292" t="s">
        <v>14</v>
      </c>
      <c r="G99" s="287" t="s">
        <v>577</v>
      </c>
      <c r="H99" s="292" t="s">
        <v>236</v>
      </c>
    </row>
    <row r="100" spans="1:8" ht="63.75" x14ac:dyDescent="0.2">
      <c r="A100" s="318">
        <v>95</v>
      </c>
      <c r="B100" s="293" t="s">
        <v>333</v>
      </c>
      <c r="C100" s="293" t="s">
        <v>11</v>
      </c>
      <c r="D100" s="294" t="s">
        <v>320</v>
      </c>
      <c r="E100" s="297" t="s">
        <v>1654</v>
      </c>
      <c r="F100" s="292" t="s">
        <v>14</v>
      </c>
      <c r="G100" s="287" t="s">
        <v>579</v>
      </c>
      <c r="H100" s="292" t="s">
        <v>236</v>
      </c>
    </row>
    <row r="101" spans="1:8" ht="271.14999999999998" customHeight="1" x14ac:dyDescent="0.2">
      <c r="A101" s="318">
        <v>96</v>
      </c>
      <c r="B101" s="293" t="s">
        <v>608</v>
      </c>
      <c r="C101" s="293" t="s">
        <v>11</v>
      </c>
      <c r="D101" s="294" t="s">
        <v>318</v>
      </c>
      <c r="E101" s="295" t="s">
        <v>1473</v>
      </c>
      <c r="F101" s="292" t="s">
        <v>14</v>
      </c>
      <c r="G101" s="287" t="s">
        <v>577</v>
      </c>
      <c r="H101" s="292" t="s">
        <v>236</v>
      </c>
    </row>
    <row r="102" spans="1:8" ht="198" customHeight="1" x14ac:dyDescent="0.2">
      <c r="A102" s="318">
        <v>97</v>
      </c>
      <c r="B102" s="293" t="s">
        <v>1474</v>
      </c>
      <c r="C102" s="293" t="s">
        <v>11</v>
      </c>
      <c r="D102" s="294" t="s">
        <v>320</v>
      </c>
      <c r="E102" s="295" t="s">
        <v>1655</v>
      </c>
      <c r="F102" s="292" t="s">
        <v>14</v>
      </c>
      <c r="G102" s="287" t="s">
        <v>579</v>
      </c>
      <c r="H102" s="292" t="s">
        <v>236</v>
      </c>
    </row>
    <row r="103" spans="1:8" ht="80.45" customHeight="1" x14ac:dyDescent="0.2">
      <c r="A103" s="318">
        <v>98</v>
      </c>
      <c r="B103" s="293" t="s">
        <v>334</v>
      </c>
      <c r="C103" s="293" t="s">
        <v>11</v>
      </c>
      <c r="D103" s="294" t="s">
        <v>318</v>
      </c>
      <c r="E103" s="296" t="s">
        <v>1475</v>
      </c>
      <c r="F103" s="292" t="s">
        <v>14</v>
      </c>
      <c r="G103" s="287" t="s">
        <v>577</v>
      </c>
      <c r="H103" s="292" t="s">
        <v>236</v>
      </c>
    </row>
    <row r="104" spans="1:8" ht="78.599999999999994" customHeight="1" x14ac:dyDescent="0.2">
      <c r="A104" s="318">
        <v>99</v>
      </c>
      <c r="B104" s="293" t="s">
        <v>335</v>
      </c>
      <c r="C104" s="293" t="s">
        <v>11</v>
      </c>
      <c r="D104" s="294" t="s">
        <v>320</v>
      </c>
      <c r="E104" s="297" t="s">
        <v>527</v>
      </c>
      <c r="F104" s="292" t="s">
        <v>14</v>
      </c>
      <c r="G104" s="287" t="s">
        <v>579</v>
      </c>
      <c r="H104" s="292" t="s">
        <v>236</v>
      </c>
    </row>
    <row r="105" spans="1:8" ht="83.45" customHeight="1" x14ac:dyDescent="0.2">
      <c r="A105" s="318">
        <v>100</v>
      </c>
      <c r="B105" s="293" t="s">
        <v>336</v>
      </c>
      <c r="C105" s="293" t="s">
        <v>11</v>
      </c>
      <c r="D105" s="294" t="s">
        <v>318</v>
      </c>
      <c r="E105" s="295" t="s">
        <v>1476</v>
      </c>
      <c r="F105" s="292" t="s">
        <v>14</v>
      </c>
      <c r="G105" s="287" t="s">
        <v>577</v>
      </c>
      <c r="H105" s="292" t="s">
        <v>236</v>
      </c>
    </row>
    <row r="106" spans="1:8" ht="133.9" customHeight="1" x14ac:dyDescent="0.2">
      <c r="A106" s="318">
        <v>101</v>
      </c>
      <c r="B106" s="293" t="s">
        <v>337</v>
      </c>
      <c r="C106" s="293" t="s">
        <v>11</v>
      </c>
      <c r="D106" s="294" t="s">
        <v>320</v>
      </c>
      <c r="E106" s="295" t="s">
        <v>1610</v>
      </c>
      <c r="F106" s="292" t="s">
        <v>14</v>
      </c>
      <c r="G106" s="287" t="s">
        <v>579</v>
      </c>
      <c r="H106" s="292" t="s">
        <v>236</v>
      </c>
    </row>
    <row r="107" spans="1:8" ht="200.45" customHeight="1" x14ac:dyDescent="0.2">
      <c r="A107" s="318">
        <v>102</v>
      </c>
      <c r="B107" s="293" t="s">
        <v>528</v>
      </c>
      <c r="C107" s="293" t="s">
        <v>11</v>
      </c>
      <c r="D107" s="294" t="s">
        <v>318</v>
      </c>
      <c r="E107" s="296" t="s">
        <v>1477</v>
      </c>
      <c r="F107" s="292" t="s">
        <v>14</v>
      </c>
      <c r="G107" s="287" t="s">
        <v>577</v>
      </c>
      <c r="H107" s="292" t="s">
        <v>236</v>
      </c>
    </row>
    <row r="108" spans="1:8" ht="89.45" customHeight="1" x14ac:dyDescent="0.2">
      <c r="A108" s="318">
        <v>103</v>
      </c>
      <c r="B108" s="302" t="s">
        <v>529</v>
      </c>
      <c r="C108" s="293" t="s">
        <v>11</v>
      </c>
      <c r="D108" s="294" t="s">
        <v>320</v>
      </c>
      <c r="E108" s="297" t="s">
        <v>1478</v>
      </c>
      <c r="F108" s="292" t="s">
        <v>14</v>
      </c>
      <c r="G108" s="287" t="s">
        <v>579</v>
      </c>
      <c r="H108" s="292" t="s">
        <v>236</v>
      </c>
    </row>
    <row r="109" spans="1:8" ht="140.25" x14ac:dyDescent="0.2">
      <c r="A109" s="318">
        <v>104</v>
      </c>
      <c r="B109" s="293" t="s">
        <v>626</v>
      </c>
      <c r="C109" s="293" t="s">
        <v>11</v>
      </c>
      <c r="D109" s="294" t="s">
        <v>318</v>
      </c>
      <c r="E109" s="295" t="s">
        <v>1479</v>
      </c>
      <c r="F109" s="292" t="s">
        <v>14</v>
      </c>
      <c r="G109" s="287" t="s">
        <v>577</v>
      </c>
      <c r="H109" s="292" t="s">
        <v>236</v>
      </c>
    </row>
    <row r="110" spans="1:8" ht="78.599999999999994" customHeight="1" x14ac:dyDescent="0.2">
      <c r="A110" s="318">
        <v>105</v>
      </c>
      <c r="B110" s="293" t="s">
        <v>530</v>
      </c>
      <c r="C110" s="293" t="s">
        <v>11</v>
      </c>
      <c r="D110" s="294" t="s">
        <v>320</v>
      </c>
      <c r="E110" s="295" t="s">
        <v>531</v>
      </c>
      <c r="F110" s="292" t="s">
        <v>14</v>
      </c>
      <c r="G110" s="287" t="s">
        <v>579</v>
      </c>
      <c r="H110" s="292" t="s">
        <v>236</v>
      </c>
    </row>
    <row r="111" spans="1:8" ht="161.44999999999999" customHeight="1" x14ac:dyDescent="0.2">
      <c r="A111" s="318">
        <v>106</v>
      </c>
      <c r="B111" s="293" t="s">
        <v>627</v>
      </c>
      <c r="C111" s="293" t="s">
        <v>11</v>
      </c>
      <c r="D111" s="294" t="s">
        <v>318</v>
      </c>
      <c r="E111" s="296" t="s">
        <v>1480</v>
      </c>
      <c r="F111" s="292" t="s">
        <v>14</v>
      </c>
      <c r="G111" s="287" t="s">
        <v>577</v>
      </c>
      <c r="H111" s="292" t="s">
        <v>236</v>
      </c>
    </row>
    <row r="112" spans="1:8" ht="105" customHeight="1" x14ac:dyDescent="0.2">
      <c r="A112" s="318">
        <v>107</v>
      </c>
      <c r="B112" s="293" t="s">
        <v>338</v>
      </c>
      <c r="C112" s="293" t="s">
        <v>11</v>
      </c>
      <c r="D112" s="294" t="s">
        <v>320</v>
      </c>
      <c r="E112" s="297" t="s">
        <v>532</v>
      </c>
      <c r="F112" s="292" t="s">
        <v>14</v>
      </c>
      <c r="G112" s="287" t="s">
        <v>579</v>
      </c>
      <c r="H112" s="292" t="s">
        <v>236</v>
      </c>
    </row>
    <row r="113" spans="1:8" ht="102" x14ac:dyDescent="0.2">
      <c r="A113" s="318">
        <v>108</v>
      </c>
      <c r="B113" s="293" t="s">
        <v>339</v>
      </c>
      <c r="C113" s="293" t="s">
        <v>11</v>
      </c>
      <c r="D113" s="303" t="s">
        <v>318</v>
      </c>
      <c r="E113" s="295" t="s">
        <v>533</v>
      </c>
      <c r="F113" s="292" t="s">
        <v>14</v>
      </c>
      <c r="G113" s="287" t="s">
        <v>577</v>
      </c>
      <c r="H113" s="290" t="s">
        <v>236</v>
      </c>
    </row>
    <row r="114" spans="1:8" ht="130.15" customHeight="1" x14ac:dyDescent="0.2">
      <c r="A114" s="318">
        <v>109</v>
      </c>
      <c r="B114" s="293" t="s">
        <v>534</v>
      </c>
      <c r="C114" s="293" t="s">
        <v>11</v>
      </c>
      <c r="D114" s="303" t="s">
        <v>228</v>
      </c>
      <c r="E114" s="295" t="s">
        <v>1481</v>
      </c>
      <c r="F114" s="292" t="s">
        <v>14</v>
      </c>
      <c r="G114" s="287" t="s">
        <v>577</v>
      </c>
      <c r="H114" s="290" t="s">
        <v>236</v>
      </c>
    </row>
    <row r="115" spans="1:8" ht="25.5" x14ac:dyDescent="0.2">
      <c r="A115" s="318">
        <v>110</v>
      </c>
      <c r="B115" s="293" t="s">
        <v>340</v>
      </c>
      <c r="C115" s="293" t="s">
        <v>12</v>
      </c>
      <c r="D115" s="303" t="s">
        <v>228</v>
      </c>
      <c r="E115" s="295" t="s">
        <v>341</v>
      </c>
      <c r="F115" s="288" t="s">
        <v>15</v>
      </c>
      <c r="G115" s="287" t="s">
        <v>43</v>
      </c>
      <c r="H115" s="290" t="s">
        <v>15</v>
      </c>
    </row>
    <row r="116" spans="1:8" ht="173.45" customHeight="1" x14ac:dyDescent="0.2">
      <c r="A116" s="318">
        <v>111</v>
      </c>
      <c r="B116" s="293" t="s">
        <v>628</v>
      </c>
      <c r="C116" s="293" t="s">
        <v>11</v>
      </c>
      <c r="D116" s="304" t="s">
        <v>230</v>
      </c>
      <c r="E116" s="296" t="s">
        <v>1482</v>
      </c>
      <c r="F116" s="291" t="s">
        <v>14</v>
      </c>
      <c r="G116" s="287" t="s">
        <v>579</v>
      </c>
      <c r="H116" s="290" t="s">
        <v>236</v>
      </c>
    </row>
    <row r="117" spans="1:8" ht="89.25" x14ac:dyDescent="0.2">
      <c r="A117" s="318">
        <v>112</v>
      </c>
      <c r="B117" s="293" t="s">
        <v>342</v>
      </c>
      <c r="C117" s="293" t="s">
        <v>11</v>
      </c>
      <c r="D117" s="294" t="s">
        <v>228</v>
      </c>
      <c r="E117" s="295" t="s">
        <v>1483</v>
      </c>
      <c r="F117" s="292" t="s">
        <v>14</v>
      </c>
      <c r="G117" s="287" t="s">
        <v>577</v>
      </c>
      <c r="H117" s="290" t="s">
        <v>236</v>
      </c>
    </row>
    <row r="118" spans="1:8" ht="25.5" x14ac:dyDescent="0.2">
      <c r="A118" s="318">
        <v>113</v>
      </c>
      <c r="B118" s="293" t="s">
        <v>343</v>
      </c>
      <c r="C118" s="293" t="s">
        <v>11</v>
      </c>
      <c r="D118" s="303" t="s">
        <v>230</v>
      </c>
      <c r="E118" s="296" t="s">
        <v>1545</v>
      </c>
      <c r="F118" s="288" t="s">
        <v>14</v>
      </c>
      <c r="G118" s="287" t="s">
        <v>579</v>
      </c>
      <c r="H118" s="290" t="s">
        <v>236</v>
      </c>
    </row>
    <row r="119" spans="1:8" ht="88.15" customHeight="1" x14ac:dyDescent="0.2">
      <c r="A119" s="318">
        <v>114</v>
      </c>
      <c r="B119" s="302" t="s">
        <v>629</v>
      </c>
      <c r="C119" s="293" t="s">
        <v>11</v>
      </c>
      <c r="D119" s="294" t="s">
        <v>228</v>
      </c>
      <c r="E119" s="297" t="s">
        <v>1484</v>
      </c>
      <c r="F119" s="291" t="s">
        <v>14</v>
      </c>
      <c r="G119" s="287" t="s">
        <v>577</v>
      </c>
      <c r="H119" s="290" t="s">
        <v>236</v>
      </c>
    </row>
    <row r="120" spans="1:8" ht="60.6" customHeight="1" x14ac:dyDescent="0.2">
      <c r="A120" s="318">
        <v>115</v>
      </c>
      <c r="B120" s="293" t="s">
        <v>344</v>
      </c>
      <c r="C120" s="293" t="s">
        <v>11</v>
      </c>
      <c r="D120" s="303" t="s">
        <v>230</v>
      </c>
      <c r="E120" s="295" t="s">
        <v>1544</v>
      </c>
      <c r="F120" s="292" t="s">
        <v>14</v>
      </c>
      <c r="G120" s="287" t="s">
        <v>579</v>
      </c>
      <c r="H120" s="290" t="s">
        <v>236</v>
      </c>
    </row>
    <row r="121" spans="1:8" ht="131.44999999999999" customHeight="1" x14ac:dyDescent="0.2">
      <c r="A121" s="318">
        <v>116</v>
      </c>
      <c r="B121" s="293" t="s">
        <v>345</v>
      </c>
      <c r="C121" s="293" t="s">
        <v>11</v>
      </c>
      <c r="D121" s="294" t="s">
        <v>228</v>
      </c>
      <c r="E121" s="296" t="s">
        <v>1485</v>
      </c>
      <c r="F121" s="288" t="s">
        <v>14</v>
      </c>
      <c r="G121" s="287" t="s">
        <v>577</v>
      </c>
      <c r="H121" s="290" t="s">
        <v>236</v>
      </c>
    </row>
    <row r="122" spans="1:8" ht="76.150000000000006" customHeight="1" x14ac:dyDescent="0.2">
      <c r="A122" s="318">
        <v>117</v>
      </c>
      <c r="B122" s="293" t="s">
        <v>346</v>
      </c>
      <c r="C122" s="293" t="s">
        <v>11</v>
      </c>
      <c r="D122" s="303" t="s">
        <v>230</v>
      </c>
      <c r="E122" s="297" t="s">
        <v>535</v>
      </c>
      <c r="F122" s="288" t="s">
        <v>14</v>
      </c>
      <c r="G122" s="287" t="s">
        <v>579</v>
      </c>
      <c r="H122" s="290" t="s">
        <v>236</v>
      </c>
    </row>
    <row r="123" spans="1:8" ht="165.75" x14ac:dyDescent="0.2">
      <c r="A123" s="318">
        <v>118</v>
      </c>
      <c r="B123" s="293" t="s">
        <v>630</v>
      </c>
      <c r="C123" s="293" t="s">
        <v>11</v>
      </c>
      <c r="D123" s="294" t="s">
        <v>228</v>
      </c>
      <c r="E123" s="295" t="s">
        <v>1486</v>
      </c>
      <c r="F123" s="288" t="s">
        <v>14</v>
      </c>
      <c r="G123" s="287" t="s">
        <v>577</v>
      </c>
      <c r="H123" s="290" t="s">
        <v>236</v>
      </c>
    </row>
    <row r="124" spans="1:8" ht="127.5" x14ac:dyDescent="0.2">
      <c r="A124" s="318">
        <v>119</v>
      </c>
      <c r="B124" s="293" t="s">
        <v>347</v>
      </c>
      <c r="C124" s="293" t="s">
        <v>11</v>
      </c>
      <c r="D124" s="303" t="s">
        <v>230</v>
      </c>
      <c r="E124" s="296" t="s">
        <v>1543</v>
      </c>
      <c r="F124" s="288" t="s">
        <v>14</v>
      </c>
      <c r="G124" s="287" t="s">
        <v>579</v>
      </c>
      <c r="H124" s="290" t="s">
        <v>236</v>
      </c>
    </row>
    <row r="125" spans="1:8" ht="127.5" x14ac:dyDescent="0.2">
      <c r="A125" s="318">
        <v>120</v>
      </c>
      <c r="B125" s="293" t="s">
        <v>348</v>
      </c>
      <c r="C125" s="293" t="s">
        <v>11</v>
      </c>
      <c r="D125" s="294" t="s">
        <v>228</v>
      </c>
      <c r="E125" s="295" t="s">
        <v>1542</v>
      </c>
      <c r="F125" s="288" t="s">
        <v>14</v>
      </c>
      <c r="G125" s="287" t="s">
        <v>577</v>
      </c>
      <c r="H125" s="290" t="s">
        <v>236</v>
      </c>
    </row>
    <row r="126" spans="1:8" ht="102" x14ac:dyDescent="0.2">
      <c r="A126" s="318">
        <v>121</v>
      </c>
      <c r="B126" s="293" t="s">
        <v>349</v>
      </c>
      <c r="C126" s="293" t="s">
        <v>11</v>
      </c>
      <c r="D126" s="303" t="s">
        <v>230</v>
      </c>
      <c r="E126" s="296" t="s">
        <v>1487</v>
      </c>
      <c r="F126" s="288" t="s">
        <v>14</v>
      </c>
      <c r="G126" s="287" t="s">
        <v>579</v>
      </c>
      <c r="H126" s="290" t="s">
        <v>236</v>
      </c>
    </row>
    <row r="127" spans="1:8" ht="75.599999999999994" customHeight="1" x14ac:dyDescent="0.2">
      <c r="A127" s="318">
        <v>122</v>
      </c>
      <c r="B127" s="293" t="s">
        <v>350</v>
      </c>
      <c r="C127" s="293" t="s">
        <v>11</v>
      </c>
      <c r="D127" s="294" t="s">
        <v>228</v>
      </c>
      <c r="E127" s="297" t="s">
        <v>1488</v>
      </c>
      <c r="F127" s="288" t="s">
        <v>14</v>
      </c>
      <c r="G127" s="287" t="s">
        <v>577</v>
      </c>
      <c r="H127" s="290" t="s">
        <v>236</v>
      </c>
    </row>
    <row r="128" spans="1:8" ht="107.45" customHeight="1" x14ac:dyDescent="0.2">
      <c r="A128" s="318">
        <v>123</v>
      </c>
      <c r="B128" s="293" t="s">
        <v>351</v>
      </c>
      <c r="C128" s="293" t="s">
        <v>11</v>
      </c>
      <c r="D128" s="303" t="s">
        <v>230</v>
      </c>
      <c r="E128" s="295" t="s">
        <v>1489</v>
      </c>
      <c r="F128" s="288" t="s">
        <v>14</v>
      </c>
      <c r="G128" s="287" t="s">
        <v>579</v>
      </c>
      <c r="H128" s="290" t="s">
        <v>236</v>
      </c>
    </row>
    <row r="129" spans="1:8" ht="216" customHeight="1" x14ac:dyDescent="0.2">
      <c r="A129" s="318">
        <v>124</v>
      </c>
      <c r="B129" s="293" t="s">
        <v>352</v>
      </c>
      <c r="C129" s="293" t="s">
        <v>11</v>
      </c>
      <c r="D129" s="294" t="s">
        <v>228</v>
      </c>
      <c r="E129" s="295" t="s">
        <v>1490</v>
      </c>
      <c r="F129" s="288" t="s">
        <v>14</v>
      </c>
      <c r="G129" s="287" t="s">
        <v>577</v>
      </c>
      <c r="H129" s="290" t="s">
        <v>236</v>
      </c>
    </row>
    <row r="130" spans="1:8" ht="153" x14ac:dyDescent="0.2">
      <c r="A130" s="318">
        <v>125</v>
      </c>
      <c r="B130" s="293" t="s">
        <v>353</v>
      </c>
      <c r="C130" s="293" t="s">
        <v>11</v>
      </c>
      <c r="D130" s="303" t="s">
        <v>230</v>
      </c>
      <c r="E130" s="296" t="s">
        <v>1491</v>
      </c>
      <c r="F130" s="288" t="s">
        <v>14</v>
      </c>
      <c r="G130" s="287" t="s">
        <v>579</v>
      </c>
      <c r="H130" s="290" t="s">
        <v>236</v>
      </c>
    </row>
    <row r="131" spans="1:8" ht="117" customHeight="1" x14ac:dyDescent="0.2">
      <c r="A131" s="318">
        <v>126</v>
      </c>
      <c r="B131" s="293" t="s">
        <v>536</v>
      </c>
      <c r="C131" s="293" t="s">
        <v>11</v>
      </c>
      <c r="D131" s="303" t="s">
        <v>228</v>
      </c>
      <c r="E131" s="296" t="s">
        <v>1492</v>
      </c>
      <c r="F131" s="288" t="s">
        <v>14</v>
      </c>
      <c r="G131" s="287" t="s">
        <v>577</v>
      </c>
      <c r="H131" s="290" t="s">
        <v>236</v>
      </c>
    </row>
    <row r="132" spans="1:8" ht="344.45" customHeight="1" x14ac:dyDescent="0.2">
      <c r="A132" s="318">
        <v>127</v>
      </c>
      <c r="B132" s="293" t="s">
        <v>354</v>
      </c>
      <c r="C132" s="293" t="s">
        <v>11</v>
      </c>
      <c r="D132" s="294" t="s">
        <v>228</v>
      </c>
      <c r="E132" s="297" t="s">
        <v>1493</v>
      </c>
      <c r="F132" s="288" t="s">
        <v>14</v>
      </c>
      <c r="G132" s="287" t="s">
        <v>577</v>
      </c>
      <c r="H132" s="290" t="s">
        <v>236</v>
      </c>
    </row>
    <row r="133" spans="1:8" ht="201" customHeight="1" x14ac:dyDescent="0.2">
      <c r="A133" s="318">
        <v>128</v>
      </c>
      <c r="B133" s="293" t="s">
        <v>355</v>
      </c>
      <c r="C133" s="293" t="s">
        <v>11</v>
      </c>
      <c r="D133" s="303" t="s">
        <v>230</v>
      </c>
      <c r="E133" s="295" t="s">
        <v>537</v>
      </c>
      <c r="F133" s="288" t="s">
        <v>14</v>
      </c>
      <c r="G133" s="287" t="s">
        <v>579</v>
      </c>
      <c r="H133" s="290" t="s">
        <v>236</v>
      </c>
    </row>
    <row r="134" spans="1:8" ht="119.45" customHeight="1" x14ac:dyDescent="0.2">
      <c r="A134" s="318">
        <v>129</v>
      </c>
      <c r="B134" s="287" t="s">
        <v>538</v>
      </c>
      <c r="C134" s="287" t="s">
        <v>11</v>
      </c>
      <c r="D134" s="287" t="s">
        <v>228</v>
      </c>
      <c r="E134" s="287" t="s">
        <v>1494</v>
      </c>
      <c r="F134" s="288" t="s">
        <v>14</v>
      </c>
      <c r="G134" s="287" t="s">
        <v>577</v>
      </c>
      <c r="H134" s="290" t="s">
        <v>14</v>
      </c>
    </row>
    <row r="135" spans="1:8" ht="162" customHeight="1" x14ac:dyDescent="0.2">
      <c r="A135" s="318">
        <v>130</v>
      </c>
      <c r="B135" s="287" t="s">
        <v>539</v>
      </c>
      <c r="C135" s="287" t="s">
        <v>11</v>
      </c>
      <c r="D135" s="287" t="s">
        <v>540</v>
      </c>
      <c r="E135" s="287" t="s">
        <v>1495</v>
      </c>
      <c r="F135" s="288" t="s">
        <v>14</v>
      </c>
      <c r="G135" s="287" t="s">
        <v>579</v>
      </c>
      <c r="H135" s="290" t="s">
        <v>236</v>
      </c>
    </row>
    <row r="136" spans="1:8" ht="281.45" customHeight="1" x14ac:dyDescent="0.2">
      <c r="A136" s="318">
        <v>131</v>
      </c>
      <c r="B136" s="287" t="s">
        <v>541</v>
      </c>
      <c r="C136" s="287" t="s">
        <v>11</v>
      </c>
      <c r="D136" s="287" t="s">
        <v>228</v>
      </c>
      <c r="E136" s="287" t="s">
        <v>1611</v>
      </c>
      <c r="F136" s="288" t="s">
        <v>14</v>
      </c>
      <c r="G136" s="287" t="s">
        <v>577</v>
      </c>
      <c r="H136" s="290" t="s">
        <v>236</v>
      </c>
    </row>
    <row r="137" spans="1:8" ht="216.75" x14ac:dyDescent="0.2">
      <c r="A137" s="318">
        <v>132</v>
      </c>
      <c r="B137" s="287" t="s">
        <v>542</v>
      </c>
      <c r="C137" s="287"/>
      <c r="D137" s="287"/>
      <c r="E137" s="287" t="s">
        <v>1496</v>
      </c>
      <c r="F137" s="288" t="s">
        <v>14</v>
      </c>
      <c r="G137" s="287" t="s">
        <v>577</v>
      </c>
      <c r="H137" s="290" t="s">
        <v>236</v>
      </c>
    </row>
    <row r="138" spans="1:8" ht="104.45" customHeight="1" x14ac:dyDescent="0.2">
      <c r="A138" s="318">
        <v>133</v>
      </c>
      <c r="B138" s="305" t="s">
        <v>613</v>
      </c>
      <c r="C138" s="299" t="s">
        <v>11</v>
      </c>
      <c r="D138" s="299" t="s">
        <v>614</v>
      </c>
      <c r="E138" s="306" t="s">
        <v>1585</v>
      </c>
      <c r="F138" s="288" t="s">
        <v>14</v>
      </c>
      <c r="G138" s="287" t="s">
        <v>615</v>
      </c>
      <c r="H138" s="290" t="s">
        <v>236</v>
      </c>
    </row>
    <row r="139" spans="1:8" ht="49.9" customHeight="1" x14ac:dyDescent="0.2">
      <c r="A139" s="318">
        <v>134</v>
      </c>
      <c r="B139" s="293" t="s">
        <v>356</v>
      </c>
      <c r="C139" s="293" t="s">
        <v>11</v>
      </c>
      <c r="D139" s="303" t="s">
        <v>228</v>
      </c>
      <c r="E139" s="295" t="s">
        <v>1497</v>
      </c>
      <c r="F139" s="292" t="s">
        <v>14</v>
      </c>
      <c r="G139" s="287" t="s">
        <v>577</v>
      </c>
      <c r="H139" s="290" t="s">
        <v>15</v>
      </c>
    </row>
    <row r="140" spans="1:8" ht="116.45" customHeight="1" x14ac:dyDescent="0.2">
      <c r="A140" s="318">
        <v>135</v>
      </c>
      <c r="B140" s="293" t="s">
        <v>543</v>
      </c>
      <c r="C140" s="293" t="s">
        <v>11</v>
      </c>
      <c r="D140" s="303" t="s">
        <v>228</v>
      </c>
      <c r="E140" s="295" t="s">
        <v>1498</v>
      </c>
      <c r="F140" s="288" t="s">
        <v>14</v>
      </c>
      <c r="G140" s="287" t="s">
        <v>577</v>
      </c>
      <c r="H140" s="290" t="s">
        <v>236</v>
      </c>
    </row>
    <row r="141" spans="1:8" ht="116.45" customHeight="1" x14ac:dyDescent="0.2">
      <c r="A141" s="318">
        <v>136</v>
      </c>
      <c r="B141" s="293" t="s">
        <v>544</v>
      </c>
      <c r="C141" s="293"/>
      <c r="D141" s="303"/>
      <c r="E141" s="295" t="s">
        <v>1499</v>
      </c>
      <c r="F141" s="290" t="s">
        <v>14</v>
      </c>
      <c r="G141" s="287" t="s">
        <v>581</v>
      </c>
      <c r="H141" s="290" t="s">
        <v>236</v>
      </c>
    </row>
    <row r="142" spans="1:8" ht="83.45" customHeight="1" x14ac:dyDescent="0.2">
      <c r="A142" s="318">
        <v>137</v>
      </c>
      <c r="B142" s="293" t="s">
        <v>385</v>
      </c>
      <c r="C142" s="293" t="s">
        <v>11</v>
      </c>
      <c r="D142" s="304" t="s">
        <v>228</v>
      </c>
      <c r="E142" s="296" t="s">
        <v>1501</v>
      </c>
      <c r="F142" s="290" t="s">
        <v>14</v>
      </c>
      <c r="G142" s="287" t="s">
        <v>582</v>
      </c>
      <c r="H142" s="290" t="s">
        <v>236</v>
      </c>
    </row>
    <row r="143" spans="1:8" ht="51" customHeight="1" x14ac:dyDescent="0.2">
      <c r="A143" s="318">
        <v>138</v>
      </c>
      <c r="B143" s="293" t="s">
        <v>386</v>
      </c>
      <c r="C143" s="293" t="s">
        <v>11</v>
      </c>
      <c r="D143" s="294" t="s">
        <v>230</v>
      </c>
      <c r="E143" s="297" t="s">
        <v>1500</v>
      </c>
      <c r="F143" s="290" t="s">
        <v>14</v>
      </c>
      <c r="G143" s="287" t="s">
        <v>582</v>
      </c>
      <c r="H143" s="290" t="s">
        <v>236</v>
      </c>
    </row>
    <row r="144" spans="1:8" ht="61.15" customHeight="1" x14ac:dyDescent="0.2">
      <c r="A144" s="318">
        <v>139</v>
      </c>
      <c r="B144" s="293" t="s">
        <v>387</v>
      </c>
      <c r="C144" s="293" t="s">
        <v>11</v>
      </c>
      <c r="D144" s="303" t="s">
        <v>228</v>
      </c>
      <c r="E144" s="295" t="s">
        <v>388</v>
      </c>
      <c r="F144" s="290" t="s">
        <v>14</v>
      </c>
      <c r="G144" s="287" t="s">
        <v>583</v>
      </c>
      <c r="H144" s="290" t="s">
        <v>236</v>
      </c>
    </row>
    <row r="145" spans="1:8" ht="46.9" customHeight="1" x14ac:dyDescent="0.2">
      <c r="A145" s="318">
        <v>140</v>
      </c>
      <c r="B145" s="293" t="s">
        <v>389</v>
      </c>
      <c r="C145" s="293" t="s">
        <v>11</v>
      </c>
      <c r="D145" s="303" t="s">
        <v>230</v>
      </c>
      <c r="E145" s="295" t="s">
        <v>1502</v>
      </c>
      <c r="F145" s="290" t="s">
        <v>14</v>
      </c>
      <c r="G145" s="287" t="s">
        <v>583</v>
      </c>
      <c r="H145" s="176" t="s">
        <v>236</v>
      </c>
    </row>
    <row r="146" spans="1:8" ht="50.45" customHeight="1" x14ac:dyDescent="0.2">
      <c r="A146" s="318">
        <v>141</v>
      </c>
      <c r="B146" s="293" t="s">
        <v>390</v>
      </c>
      <c r="C146" s="293" t="s">
        <v>11</v>
      </c>
      <c r="D146" s="304" t="s">
        <v>228</v>
      </c>
      <c r="E146" s="296" t="s">
        <v>1503</v>
      </c>
      <c r="F146" s="290" t="s">
        <v>14</v>
      </c>
      <c r="G146" s="287" t="s">
        <v>577</v>
      </c>
      <c r="H146" s="176" t="s">
        <v>612</v>
      </c>
    </row>
    <row r="147" spans="1:8" ht="51" x14ac:dyDescent="0.2">
      <c r="A147" s="318">
        <v>142</v>
      </c>
      <c r="B147" s="293" t="s">
        <v>391</v>
      </c>
      <c r="C147" s="293" t="s">
        <v>11</v>
      </c>
      <c r="D147" s="294" t="s">
        <v>230</v>
      </c>
      <c r="E147" s="297" t="s">
        <v>1504</v>
      </c>
      <c r="F147" s="290" t="s">
        <v>15</v>
      </c>
      <c r="G147" s="287" t="s">
        <v>43</v>
      </c>
      <c r="H147" s="176" t="s">
        <v>15</v>
      </c>
    </row>
    <row r="148" spans="1:8" ht="63.75" x14ac:dyDescent="0.2">
      <c r="A148" s="318">
        <v>143</v>
      </c>
      <c r="B148" s="307" t="s">
        <v>587</v>
      </c>
      <c r="C148" s="293" t="s">
        <v>11</v>
      </c>
      <c r="D148" s="304" t="s">
        <v>228</v>
      </c>
      <c r="E148" s="295" t="s">
        <v>585</v>
      </c>
      <c r="F148" s="290" t="s">
        <v>14</v>
      </c>
      <c r="G148" s="287" t="s">
        <v>586</v>
      </c>
      <c r="H148" s="290" t="s">
        <v>236</v>
      </c>
    </row>
    <row r="149" spans="1:8" ht="34.9" customHeight="1" x14ac:dyDescent="0.2">
      <c r="A149" s="318">
        <v>144</v>
      </c>
      <c r="B149" s="293" t="s">
        <v>392</v>
      </c>
      <c r="C149" s="293" t="s">
        <v>11</v>
      </c>
      <c r="D149" s="303" t="s">
        <v>228</v>
      </c>
      <c r="E149" s="295" t="s">
        <v>554</v>
      </c>
      <c r="F149" s="290" t="s">
        <v>15</v>
      </c>
      <c r="G149" s="287" t="s">
        <v>43</v>
      </c>
      <c r="H149" s="176" t="s">
        <v>15</v>
      </c>
    </row>
    <row r="150" spans="1:8" ht="48.6" customHeight="1" x14ac:dyDescent="0.2">
      <c r="A150" s="318">
        <v>145</v>
      </c>
      <c r="B150" s="293" t="s">
        <v>393</v>
      </c>
      <c r="C150" s="293" t="s">
        <v>11</v>
      </c>
      <c r="D150" s="304" t="s">
        <v>228</v>
      </c>
      <c r="E150" s="296" t="s">
        <v>394</v>
      </c>
      <c r="F150" s="290" t="s">
        <v>14</v>
      </c>
      <c r="G150" s="287" t="s">
        <v>555</v>
      </c>
      <c r="H150" s="292" t="s">
        <v>236</v>
      </c>
    </row>
    <row r="151" spans="1:8" ht="49.9" customHeight="1" x14ac:dyDescent="0.2">
      <c r="A151" s="318">
        <v>146</v>
      </c>
      <c r="B151" s="293" t="s">
        <v>395</v>
      </c>
      <c r="C151" s="293" t="s">
        <v>11</v>
      </c>
      <c r="D151" s="294" t="s">
        <v>228</v>
      </c>
      <c r="E151" s="297" t="s">
        <v>396</v>
      </c>
      <c r="F151" s="290" t="s">
        <v>14</v>
      </c>
      <c r="G151" s="287" t="s">
        <v>556</v>
      </c>
      <c r="H151" s="292" t="s">
        <v>236</v>
      </c>
    </row>
    <row r="152" spans="1:8" ht="25.5" x14ac:dyDescent="0.2">
      <c r="A152" s="318">
        <v>147</v>
      </c>
      <c r="B152" s="293" t="s">
        <v>397</v>
      </c>
      <c r="C152" s="293" t="s">
        <v>11</v>
      </c>
      <c r="D152" s="303" t="s">
        <v>228</v>
      </c>
      <c r="E152" s="295" t="s">
        <v>398</v>
      </c>
      <c r="F152" s="290" t="s">
        <v>15</v>
      </c>
      <c r="G152" s="287" t="s">
        <v>43</v>
      </c>
      <c r="H152" s="176" t="s">
        <v>15</v>
      </c>
    </row>
    <row r="153" spans="1:8" ht="51" x14ac:dyDescent="0.2">
      <c r="A153" s="317">
        <v>148</v>
      </c>
      <c r="B153" s="293" t="s">
        <v>399</v>
      </c>
      <c r="C153" s="293" t="s">
        <v>11</v>
      </c>
      <c r="D153" s="303" t="s">
        <v>228</v>
      </c>
      <c r="E153" s="295" t="s">
        <v>1505</v>
      </c>
      <c r="F153" s="290" t="s">
        <v>14</v>
      </c>
      <c r="G153" s="287" t="s">
        <v>588</v>
      </c>
      <c r="H153" s="292" t="s">
        <v>236</v>
      </c>
    </row>
    <row r="154" spans="1:8" ht="64.150000000000006" customHeight="1" x14ac:dyDescent="0.2">
      <c r="A154" s="317">
        <v>149</v>
      </c>
      <c r="B154" s="293" t="s">
        <v>400</v>
      </c>
      <c r="C154" s="293" t="s">
        <v>11</v>
      </c>
      <c r="D154" s="304" t="s">
        <v>228</v>
      </c>
      <c r="E154" s="296" t="s">
        <v>1506</v>
      </c>
      <c r="F154" s="290" t="s">
        <v>15</v>
      </c>
      <c r="G154" s="287" t="s">
        <v>43</v>
      </c>
      <c r="H154" s="176" t="s">
        <v>15</v>
      </c>
    </row>
    <row r="155" spans="1:8" ht="46.15" customHeight="1" x14ac:dyDescent="0.2">
      <c r="A155" s="317">
        <v>150</v>
      </c>
      <c r="B155" s="293" t="s">
        <v>401</v>
      </c>
      <c r="C155" s="293" t="s">
        <v>11</v>
      </c>
      <c r="D155" s="294" t="s">
        <v>228</v>
      </c>
      <c r="E155" s="297" t="s">
        <v>402</v>
      </c>
      <c r="F155" s="290" t="s">
        <v>15</v>
      </c>
      <c r="G155" s="287" t="s">
        <v>43</v>
      </c>
      <c r="H155" s="176" t="s">
        <v>15</v>
      </c>
    </row>
    <row r="156" spans="1:8" ht="76.150000000000006" customHeight="1" x14ac:dyDescent="0.2">
      <c r="A156" s="317">
        <v>151</v>
      </c>
      <c r="B156" s="293" t="s">
        <v>551</v>
      </c>
      <c r="C156" s="293" t="s">
        <v>11</v>
      </c>
      <c r="D156" s="303" t="s">
        <v>228</v>
      </c>
      <c r="E156" s="295" t="s">
        <v>1507</v>
      </c>
      <c r="F156" s="290" t="s">
        <v>15</v>
      </c>
      <c r="G156" s="287" t="s">
        <v>43</v>
      </c>
      <c r="H156" s="176" t="s">
        <v>15</v>
      </c>
    </row>
    <row r="157" spans="1:8" ht="46.9" customHeight="1" x14ac:dyDescent="0.2">
      <c r="A157" s="317">
        <v>152</v>
      </c>
      <c r="B157" s="293" t="s">
        <v>552</v>
      </c>
      <c r="C157" s="293" t="s">
        <v>11</v>
      </c>
      <c r="D157" s="303" t="s">
        <v>228</v>
      </c>
      <c r="E157" s="295" t="s">
        <v>573</v>
      </c>
      <c r="F157" s="290" t="s">
        <v>553</v>
      </c>
      <c r="G157" s="287" t="s">
        <v>43</v>
      </c>
      <c r="H157" s="176" t="s">
        <v>15</v>
      </c>
    </row>
    <row r="158" spans="1:8" ht="34.9" customHeight="1" x14ac:dyDescent="0.2">
      <c r="A158" s="317">
        <v>153</v>
      </c>
      <c r="B158" s="293" t="s">
        <v>403</v>
      </c>
      <c r="C158" s="293" t="s">
        <v>11</v>
      </c>
      <c r="D158" s="303"/>
      <c r="E158" s="295" t="s">
        <v>404</v>
      </c>
      <c r="F158" s="290" t="s">
        <v>15</v>
      </c>
      <c r="G158" s="287" t="s">
        <v>43</v>
      </c>
      <c r="H158" s="176" t="s">
        <v>15</v>
      </c>
    </row>
    <row r="159" spans="1:8" ht="61.15" customHeight="1" x14ac:dyDescent="0.2">
      <c r="A159" s="317">
        <v>154</v>
      </c>
      <c r="B159" s="293" t="s">
        <v>405</v>
      </c>
      <c r="C159" s="293" t="s">
        <v>11</v>
      </c>
      <c r="D159" s="304"/>
      <c r="E159" s="296" t="s">
        <v>1508</v>
      </c>
      <c r="F159" s="290" t="s">
        <v>15</v>
      </c>
      <c r="G159" s="287" t="s">
        <v>43</v>
      </c>
    </row>
    <row r="160" spans="1:8" ht="52.15" customHeight="1" x14ac:dyDescent="0.2">
      <c r="A160" s="290">
        <v>155</v>
      </c>
      <c r="B160" s="293" t="s">
        <v>557</v>
      </c>
      <c r="C160" s="293" t="s">
        <v>11</v>
      </c>
      <c r="D160" s="294" t="s">
        <v>228</v>
      </c>
      <c r="E160" s="297" t="s">
        <v>1509</v>
      </c>
      <c r="F160" s="290" t="s">
        <v>15</v>
      </c>
      <c r="G160" s="287" t="s">
        <v>43</v>
      </c>
      <c r="H160" s="176" t="s">
        <v>15</v>
      </c>
    </row>
    <row r="161" spans="1:8" ht="40.15" customHeight="1" x14ac:dyDescent="0.2">
      <c r="A161" s="290">
        <v>156</v>
      </c>
      <c r="B161" s="293" t="s">
        <v>558</v>
      </c>
      <c r="C161" s="293" t="s">
        <v>11</v>
      </c>
      <c r="D161" s="303" t="s">
        <v>228</v>
      </c>
      <c r="E161" s="295" t="s">
        <v>406</v>
      </c>
      <c r="F161" s="290" t="s">
        <v>15</v>
      </c>
      <c r="G161" s="287" t="s">
        <v>43</v>
      </c>
      <c r="H161" s="176" t="s">
        <v>15</v>
      </c>
    </row>
    <row r="162" spans="1:8" ht="46.15" customHeight="1" x14ac:dyDescent="0.2">
      <c r="A162" s="290">
        <v>157</v>
      </c>
      <c r="B162" s="293" t="s">
        <v>559</v>
      </c>
      <c r="C162" s="293" t="s">
        <v>11</v>
      </c>
      <c r="D162" s="303" t="s">
        <v>228</v>
      </c>
      <c r="E162" s="295" t="s">
        <v>1510</v>
      </c>
      <c r="F162" s="290" t="s">
        <v>14</v>
      </c>
      <c r="G162" s="287" t="s">
        <v>560</v>
      </c>
      <c r="H162" s="292" t="s">
        <v>236</v>
      </c>
    </row>
    <row r="163" spans="1:8" ht="213.6" customHeight="1" x14ac:dyDescent="0.2">
      <c r="A163" s="290">
        <v>158</v>
      </c>
      <c r="B163" s="287" t="s">
        <v>407</v>
      </c>
      <c r="C163" s="303" t="s">
        <v>11</v>
      </c>
      <c r="D163" s="303" t="s">
        <v>230</v>
      </c>
      <c r="E163" s="308" t="s">
        <v>1586</v>
      </c>
      <c r="F163" s="290" t="s">
        <v>14</v>
      </c>
      <c r="G163" s="287" t="s">
        <v>1587</v>
      </c>
      <c r="H163" s="292" t="s">
        <v>236</v>
      </c>
    </row>
    <row r="164" spans="1:8" ht="153" x14ac:dyDescent="0.2">
      <c r="A164" s="290">
        <v>159</v>
      </c>
      <c r="B164" s="287" t="s">
        <v>408</v>
      </c>
      <c r="C164" s="303" t="s">
        <v>11</v>
      </c>
      <c r="D164" s="303" t="s">
        <v>230</v>
      </c>
      <c r="E164" s="309" t="s">
        <v>1511</v>
      </c>
      <c r="F164" s="290" t="s">
        <v>14</v>
      </c>
      <c r="G164" s="287" t="s">
        <v>640</v>
      </c>
      <c r="H164" s="176" t="s">
        <v>1617</v>
      </c>
    </row>
    <row r="165" spans="1:8" ht="127.5" x14ac:dyDescent="0.2">
      <c r="A165" s="290">
        <v>160</v>
      </c>
      <c r="B165" s="287" t="s">
        <v>409</v>
      </c>
      <c r="C165" s="304" t="s">
        <v>11</v>
      </c>
      <c r="D165" s="304" t="s">
        <v>230</v>
      </c>
      <c r="E165" s="178" t="s">
        <v>1512</v>
      </c>
      <c r="F165" s="290" t="s">
        <v>14</v>
      </c>
      <c r="G165" s="287" t="s">
        <v>641</v>
      </c>
      <c r="H165" s="176" t="s">
        <v>620</v>
      </c>
    </row>
    <row r="166" spans="1:8" ht="156" customHeight="1" x14ac:dyDescent="0.2">
      <c r="A166" s="290">
        <v>161</v>
      </c>
      <c r="B166" s="287" t="s">
        <v>410</v>
      </c>
      <c r="C166" s="294" t="s">
        <v>11</v>
      </c>
      <c r="D166" s="294" t="s">
        <v>230</v>
      </c>
      <c r="E166" s="310" t="s">
        <v>1588</v>
      </c>
      <c r="F166" s="290" t="s">
        <v>14</v>
      </c>
      <c r="G166" s="287" t="s">
        <v>1589</v>
      </c>
      <c r="H166" s="176" t="s">
        <v>620</v>
      </c>
    </row>
    <row r="167" spans="1:8" ht="106.15" customHeight="1" x14ac:dyDescent="0.2">
      <c r="A167" s="290">
        <v>162</v>
      </c>
      <c r="B167" s="287" t="s">
        <v>411</v>
      </c>
      <c r="C167" s="303" t="s">
        <v>11</v>
      </c>
      <c r="D167" s="303" t="s">
        <v>230</v>
      </c>
      <c r="E167" s="308" t="s">
        <v>1513</v>
      </c>
      <c r="F167" s="290" t="s">
        <v>14</v>
      </c>
      <c r="G167" s="287" t="s">
        <v>642</v>
      </c>
      <c r="H167" s="176" t="s">
        <v>620</v>
      </c>
    </row>
    <row r="168" spans="1:8" ht="103.9" customHeight="1" x14ac:dyDescent="0.2">
      <c r="A168" s="290">
        <v>163</v>
      </c>
      <c r="B168" s="287" t="s">
        <v>412</v>
      </c>
      <c r="C168" s="304" t="s">
        <v>11</v>
      </c>
      <c r="D168" s="304" t="s">
        <v>230</v>
      </c>
      <c r="E168" s="311" t="s">
        <v>1514</v>
      </c>
      <c r="F168" s="290" t="s">
        <v>14</v>
      </c>
      <c r="G168" s="287" t="s">
        <v>643</v>
      </c>
      <c r="H168" s="176" t="s">
        <v>620</v>
      </c>
    </row>
    <row r="169" spans="1:8" ht="60.6" customHeight="1" x14ac:dyDescent="0.2">
      <c r="A169" s="290">
        <v>164</v>
      </c>
      <c r="B169" s="299" t="s">
        <v>572</v>
      </c>
      <c r="C169" s="299" t="s">
        <v>11</v>
      </c>
      <c r="D169" s="304" t="s">
        <v>228</v>
      </c>
      <c r="E169" s="312" t="s">
        <v>589</v>
      </c>
      <c r="F169" s="290" t="s">
        <v>15</v>
      </c>
      <c r="G169" s="287" t="s">
        <v>43</v>
      </c>
      <c r="H169" s="292" t="s">
        <v>235</v>
      </c>
    </row>
    <row r="170" spans="1:8" ht="38.25" x14ac:dyDescent="0.2">
      <c r="A170" s="290">
        <v>165</v>
      </c>
      <c r="B170" s="299" t="s">
        <v>561</v>
      </c>
      <c r="C170" s="299" t="s">
        <v>11</v>
      </c>
      <c r="D170" s="303" t="s">
        <v>228</v>
      </c>
      <c r="E170" s="308" t="s">
        <v>1515</v>
      </c>
      <c r="F170" s="290" t="s">
        <v>14</v>
      </c>
      <c r="G170" s="287" t="s">
        <v>562</v>
      </c>
      <c r="H170" s="292" t="s">
        <v>236</v>
      </c>
    </row>
    <row r="171" spans="1:8" ht="51" x14ac:dyDescent="0.2">
      <c r="A171" s="290">
        <v>166</v>
      </c>
      <c r="B171" s="287" t="s">
        <v>563</v>
      </c>
      <c r="C171" s="303" t="s">
        <v>11</v>
      </c>
      <c r="D171" s="303" t="s">
        <v>228</v>
      </c>
      <c r="E171" s="308" t="s">
        <v>1516</v>
      </c>
      <c r="F171" s="290" t="s">
        <v>14</v>
      </c>
      <c r="G171" s="287" t="s">
        <v>564</v>
      </c>
      <c r="H171" s="292" t="s">
        <v>236</v>
      </c>
    </row>
    <row r="172" spans="1:8" ht="34.9" customHeight="1" x14ac:dyDescent="0.2">
      <c r="A172" s="290">
        <v>167</v>
      </c>
      <c r="B172" s="287" t="s">
        <v>565</v>
      </c>
      <c r="C172" s="304" t="s">
        <v>11</v>
      </c>
      <c r="D172" s="304" t="s">
        <v>228</v>
      </c>
      <c r="E172" s="312" t="s">
        <v>1541</v>
      </c>
      <c r="F172" s="290" t="s">
        <v>15</v>
      </c>
      <c r="G172" s="287" t="s">
        <v>43</v>
      </c>
      <c r="H172" s="176" t="s">
        <v>15</v>
      </c>
    </row>
    <row r="173" spans="1:8" ht="37.15" customHeight="1" x14ac:dyDescent="0.2">
      <c r="A173" s="290">
        <v>168</v>
      </c>
      <c r="B173" s="287" t="s">
        <v>569</v>
      </c>
      <c r="C173" s="303" t="s">
        <v>11</v>
      </c>
      <c r="D173" s="303" t="s">
        <v>228</v>
      </c>
      <c r="E173" s="308" t="s">
        <v>570</v>
      </c>
      <c r="F173" s="290" t="s">
        <v>14</v>
      </c>
      <c r="G173" s="287" t="s">
        <v>571</v>
      </c>
      <c r="H173" s="292" t="s">
        <v>236</v>
      </c>
    </row>
    <row r="174" spans="1:8" ht="49.15" customHeight="1" x14ac:dyDescent="0.2">
      <c r="A174" s="290">
        <v>169</v>
      </c>
      <c r="B174" s="287" t="s">
        <v>567</v>
      </c>
      <c r="C174" s="303" t="s">
        <v>11</v>
      </c>
      <c r="D174" s="303" t="s">
        <v>228</v>
      </c>
      <c r="E174" s="308" t="s">
        <v>566</v>
      </c>
      <c r="F174" s="288" t="s">
        <v>14</v>
      </c>
      <c r="G174" s="287" t="s">
        <v>568</v>
      </c>
      <c r="H174" s="290" t="s">
        <v>236</v>
      </c>
    </row>
    <row r="175" spans="1:8" ht="51" customHeight="1" x14ac:dyDescent="0.2">
      <c r="A175" s="290">
        <v>170</v>
      </c>
      <c r="B175" s="313" t="s">
        <v>616</v>
      </c>
      <c r="C175" s="293" t="s">
        <v>11</v>
      </c>
      <c r="D175" s="303" t="s">
        <v>230</v>
      </c>
      <c r="E175" s="295" t="s">
        <v>1517</v>
      </c>
      <c r="F175" s="290" t="s">
        <v>15</v>
      </c>
      <c r="G175" s="287" t="s">
        <v>43</v>
      </c>
      <c r="H175" s="290" t="s">
        <v>15</v>
      </c>
    </row>
    <row r="176" spans="1:8" ht="63.75" x14ac:dyDescent="0.2">
      <c r="A176" s="290">
        <v>171</v>
      </c>
      <c r="B176" s="313" t="s">
        <v>617</v>
      </c>
      <c r="C176" s="293" t="s">
        <v>11</v>
      </c>
      <c r="D176" s="303" t="s">
        <v>228</v>
      </c>
      <c r="E176" s="295" t="s">
        <v>1590</v>
      </c>
      <c r="F176" s="290" t="s">
        <v>14</v>
      </c>
      <c r="G176" s="287" t="s">
        <v>619</v>
      </c>
      <c r="H176" s="292" t="s">
        <v>236</v>
      </c>
    </row>
    <row r="177" spans="1:8" ht="76.150000000000006" customHeight="1" x14ac:dyDescent="0.2">
      <c r="A177" s="290">
        <v>172</v>
      </c>
      <c r="B177" s="313" t="s">
        <v>618</v>
      </c>
      <c r="C177" s="293" t="s">
        <v>11</v>
      </c>
      <c r="D177" s="303" t="s">
        <v>228</v>
      </c>
      <c r="E177" s="295" t="s">
        <v>1591</v>
      </c>
      <c r="F177" s="290" t="s">
        <v>14</v>
      </c>
      <c r="G177" s="287" t="s">
        <v>43</v>
      </c>
      <c r="H177" s="292" t="s">
        <v>236</v>
      </c>
    </row>
    <row r="178" spans="1:8" ht="47.45" customHeight="1" x14ac:dyDescent="0.2">
      <c r="A178" s="290">
        <v>173</v>
      </c>
      <c r="B178" s="314" t="s">
        <v>631</v>
      </c>
      <c r="C178" s="314" t="s">
        <v>299</v>
      </c>
      <c r="D178" s="314" t="s">
        <v>228</v>
      </c>
      <c r="E178" s="314" t="s">
        <v>1540</v>
      </c>
      <c r="F178" s="315" t="s">
        <v>14</v>
      </c>
      <c r="G178" s="314" t="s">
        <v>632</v>
      </c>
      <c r="H178" s="292" t="s">
        <v>236</v>
      </c>
    </row>
    <row r="179" spans="1:8" ht="73.900000000000006" customHeight="1" x14ac:dyDescent="0.2">
      <c r="A179" s="290">
        <v>174</v>
      </c>
      <c r="B179" s="314" t="s">
        <v>357</v>
      </c>
      <c r="C179" s="314" t="s">
        <v>11</v>
      </c>
      <c r="D179" s="314" t="s">
        <v>228</v>
      </c>
      <c r="E179" s="314" t="s">
        <v>1518</v>
      </c>
      <c r="F179" s="315" t="s">
        <v>14</v>
      </c>
      <c r="G179" s="314" t="s">
        <v>632</v>
      </c>
      <c r="H179" s="292" t="s">
        <v>236</v>
      </c>
    </row>
    <row r="180" spans="1:8" ht="54.6" customHeight="1" x14ac:dyDescent="0.2">
      <c r="A180" s="290">
        <v>175</v>
      </c>
      <c r="B180" s="314" t="s">
        <v>358</v>
      </c>
      <c r="C180" s="314" t="s">
        <v>11</v>
      </c>
      <c r="D180" s="314" t="s">
        <v>228</v>
      </c>
      <c r="E180" s="314" t="s">
        <v>1519</v>
      </c>
      <c r="F180" s="315" t="s">
        <v>14</v>
      </c>
      <c r="G180" s="314" t="s">
        <v>632</v>
      </c>
      <c r="H180" s="292" t="s">
        <v>236</v>
      </c>
    </row>
    <row r="181" spans="1:8" ht="49.15" customHeight="1" x14ac:dyDescent="0.2">
      <c r="A181" s="290">
        <v>176</v>
      </c>
      <c r="B181" s="314" t="s">
        <v>359</v>
      </c>
      <c r="C181" s="314" t="s">
        <v>11</v>
      </c>
      <c r="D181" s="314" t="s">
        <v>230</v>
      </c>
      <c r="E181" s="314" t="s">
        <v>1539</v>
      </c>
      <c r="F181" s="315" t="s">
        <v>14</v>
      </c>
      <c r="G181" s="314" t="s">
        <v>632</v>
      </c>
      <c r="H181" s="292" t="s">
        <v>236</v>
      </c>
    </row>
    <row r="182" spans="1:8" ht="76.900000000000006" customHeight="1" x14ac:dyDescent="0.2">
      <c r="A182" s="290">
        <v>177</v>
      </c>
      <c r="B182" s="314" t="s">
        <v>360</v>
      </c>
      <c r="C182" s="314" t="s">
        <v>11</v>
      </c>
      <c r="D182" s="314" t="s">
        <v>230</v>
      </c>
      <c r="E182" s="314" t="s">
        <v>1520</v>
      </c>
      <c r="F182" s="315" t="s">
        <v>14</v>
      </c>
      <c r="G182" s="314" t="s">
        <v>632</v>
      </c>
      <c r="H182" s="292" t="s">
        <v>236</v>
      </c>
    </row>
    <row r="183" spans="1:8" ht="76.150000000000006" customHeight="1" x14ac:dyDescent="0.2">
      <c r="A183" s="290">
        <v>178</v>
      </c>
      <c r="B183" s="314" t="s">
        <v>361</v>
      </c>
      <c r="C183" s="314" t="s">
        <v>11</v>
      </c>
      <c r="D183" s="314" t="s">
        <v>230</v>
      </c>
      <c r="E183" s="314" t="s">
        <v>1521</v>
      </c>
      <c r="F183" s="315" t="s">
        <v>14</v>
      </c>
      <c r="G183" s="314" t="s">
        <v>632</v>
      </c>
      <c r="H183" s="291" t="s">
        <v>246</v>
      </c>
    </row>
    <row r="184" spans="1:8" ht="65.45" customHeight="1" x14ac:dyDescent="0.2">
      <c r="A184" s="290">
        <v>179</v>
      </c>
      <c r="B184" s="314" t="s">
        <v>362</v>
      </c>
      <c r="C184" s="314" t="s">
        <v>11</v>
      </c>
      <c r="D184" s="314" t="s">
        <v>230</v>
      </c>
      <c r="E184" s="314" t="s">
        <v>1522</v>
      </c>
      <c r="F184" s="315" t="s">
        <v>14</v>
      </c>
      <c r="G184" s="314" t="s">
        <v>632</v>
      </c>
      <c r="H184" s="292" t="s">
        <v>236</v>
      </c>
    </row>
    <row r="185" spans="1:8" ht="63.6" customHeight="1" x14ac:dyDescent="0.2">
      <c r="A185" s="290">
        <v>180</v>
      </c>
      <c r="B185" s="314" t="s">
        <v>363</v>
      </c>
      <c r="C185" s="314" t="s">
        <v>11</v>
      </c>
      <c r="D185" s="314" t="s">
        <v>230</v>
      </c>
      <c r="E185" s="314" t="s">
        <v>1523</v>
      </c>
      <c r="F185" s="315" t="s">
        <v>14</v>
      </c>
      <c r="G185" s="314" t="s">
        <v>632</v>
      </c>
      <c r="H185" s="292" t="s">
        <v>236</v>
      </c>
    </row>
    <row r="186" spans="1:8" ht="51" x14ac:dyDescent="0.2">
      <c r="A186" s="290">
        <v>181</v>
      </c>
      <c r="B186" s="314" t="s">
        <v>364</v>
      </c>
      <c r="C186" s="314" t="s">
        <v>11</v>
      </c>
      <c r="D186" s="314" t="s">
        <v>230</v>
      </c>
      <c r="E186" s="314" t="s">
        <v>365</v>
      </c>
      <c r="F186" s="315" t="s">
        <v>14</v>
      </c>
      <c r="G186" s="314" t="s">
        <v>633</v>
      </c>
      <c r="H186" s="292" t="s">
        <v>236</v>
      </c>
    </row>
    <row r="187" spans="1:8" ht="51" x14ac:dyDescent="0.2">
      <c r="A187" s="290">
        <v>182</v>
      </c>
      <c r="B187" s="314" t="s">
        <v>366</v>
      </c>
      <c r="C187" s="314" t="s">
        <v>11</v>
      </c>
      <c r="D187" s="314" t="s">
        <v>230</v>
      </c>
      <c r="E187" s="314" t="s">
        <v>367</v>
      </c>
      <c r="F187" s="315" t="s">
        <v>14</v>
      </c>
      <c r="G187" s="314" t="s">
        <v>634</v>
      </c>
      <c r="H187" s="292" t="s">
        <v>236</v>
      </c>
    </row>
    <row r="188" spans="1:8" ht="54" customHeight="1" x14ac:dyDescent="0.2">
      <c r="A188" s="290">
        <v>183</v>
      </c>
      <c r="B188" s="314" t="s">
        <v>368</v>
      </c>
      <c r="C188" s="314" t="s">
        <v>11</v>
      </c>
      <c r="D188" s="314" t="s">
        <v>230</v>
      </c>
      <c r="E188" s="314" t="s">
        <v>369</v>
      </c>
      <c r="F188" s="315" t="s">
        <v>635</v>
      </c>
      <c r="G188" s="314" t="s">
        <v>636</v>
      </c>
      <c r="H188" s="292" t="s">
        <v>236</v>
      </c>
    </row>
    <row r="189" spans="1:8" ht="64.900000000000006" customHeight="1" x14ac:dyDescent="0.2">
      <c r="A189" s="290">
        <v>184</v>
      </c>
      <c r="B189" s="314" t="s">
        <v>370</v>
      </c>
      <c r="C189" s="314" t="s">
        <v>11</v>
      </c>
      <c r="D189" s="314" t="s">
        <v>230</v>
      </c>
      <c r="E189" s="314" t="s">
        <v>1524</v>
      </c>
      <c r="F189" s="315" t="s">
        <v>14</v>
      </c>
      <c r="G189" s="314" t="s">
        <v>632</v>
      </c>
      <c r="H189" s="315" t="s">
        <v>15</v>
      </c>
    </row>
    <row r="190" spans="1:8" ht="48.6" customHeight="1" x14ac:dyDescent="0.2">
      <c r="A190" s="290">
        <v>185</v>
      </c>
      <c r="B190" s="314" t="s">
        <v>371</v>
      </c>
      <c r="C190" s="314" t="s">
        <v>11</v>
      </c>
      <c r="D190" s="314" t="s">
        <v>230</v>
      </c>
      <c r="E190" s="314" t="s">
        <v>1525</v>
      </c>
      <c r="F190" s="315" t="s">
        <v>14</v>
      </c>
      <c r="G190" s="314" t="s">
        <v>632</v>
      </c>
      <c r="H190" s="292" t="s">
        <v>236</v>
      </c>
    </row>
    <row r="191" spans="1:8" ht="63.75" x14ac:dyDescent="0.2">
      <c r="A191" s="290">
        <v>186</v>
      </c>
      <c r="B191" s="314" t="s">
        <v>372</v>
      </c>
      <c r="C191" s="314" t="s">
        <v>11</v>
      </c>
      <c r="D191" s="314" t="s">
        <v>230</v>
      </c>
      <c r="E191" s="314" t="s">
        <v>1526</v>
      </c>
      <c r="F191" s="315" t="s">
        <v>14</v>
      </c>
      <c r="G191" s="314" t="s">
        <v>632</v>
      </c>
      <c r="H191" s="292" t="s">
        <v>236</v>
      </c>
    </row>
    <row r="192" spans="1:8" ht="51" x14ac:dyDescent="0.2">
      <c r="A192" s="290">
        <v>187</v>
      </c>
      <c r="B192" s="314" t="s">
        <v>373</v>
      </c>
      <c r="C192" s="314" t="s">
        <v>12</v>
      </c>
      <c r="D192" s="314" t="s">
        <v>228</v>
      </c>
      <c r="E192" s="314" t="s">
        <v>374</v>
      </c>
      <c r="F192" s="315" t="s">
        <v>14</v>
      </c>
      <c r="G192" s="314" t="s">
        <v>633</v>
      </c>
      <c r="H192" s="292" t="s">
        <v>236</v>
      </c>
    </row>
    <row r="193" spans="1:9" ht="62.45" customHeight="1" x14ac:dyDescent="0.2">
      <c r="A193" s="290">
        <v>188</v>
      </c>
      <c r="B193" s="314" t="s">
        <v>375</v>
      </c>
      <c r="C193" s="314" t="s">
        <v>12</v>
      </c>
      <c r="D193" s="314" t="s">
        <v>228</v>
      </c>
      <c r="E193" s="314" t="s">
        <v>376</v>
      </c>
      <c r="F193" s="315" t="s">
        <v>635</v>
      </c>
      <c r="G193" s="314" t="s">
        <v>634</v>
      </c>
      <c r="H193" s="292" t="s">
        <v>236</v>
      </c>
      <c r="I193" s="176" t="s">
        <v>584</v>
      </c>
    </row>
    <row r="194" spans="1:9" ht="61.15" customHeight="1" x14ac:dyDescent="0.2">
      <c r="A194" s="290">
        <v>189</v>
      </c>
      <c r="B194" s="314" t="s">
        <v>377</v>
      </c>
      <c r="C194" s="314" t="s">
        <v>12</v>
      </c>
      <c r="D194" s="314" t="s">
        <v>228</v>
      </c>
      <c r="E194" s="314" t="s">
        <v>378</v>
      </c>
      <c r="F194" s="315" t="s">
        <v>14</v>
      </c>
      <c r="G194" s="314" t="s">
        <v>636</v>
      </c>
      <c r="H194" s="292" t="s">
        <v>236</v>
      </c>
    </row>
    <row r="195" spans="1:9" ht="33" customHeight="1" x14ac:dyDescent="0.2">
      <c r="A195" s="290">
        <v>190</v>
      </c>
      <c r="B195" s="314" t="s">
        <v>637</v>
      </c>
      <c r="C195" s="314" t="s">
        <v>12</v>
      </c>
      <c r="D195" s="314" t="s">
        <v>228</v>
      </c>
      <c r="E195" s="314" t="s">
        <v>1538</v>
      </c>
      <c r="F195" s="315" t="s">
        <v>14</v>
      </c>
      <c r="G195" s="314" t="s">
        <v>638</v>
      </c>
      <c r="H195" s="291" t="s">
        <v>246</v>
      </c>
    </row>
    <row r="196" spans="1:9" ht="37.9" customHeight="1" x14ac:dyDescent="0.2">
      <c r="A196" s="290">
        <v>191</v>
      </c>
      <c r="B196" s="314" t="s">
        <v>379</v>
      </c>
      <c r="C196" s="314" t="s">
        <v>11</v>
      </c>
      <c r="D196" s="314" t="s">
        <v>228</v>
      </c>
      <c r="E196" s="314" t="s">
        <v>1527</v>
      </c>
      <c r="F196" s="315" t="s">
        <v>14</v>
      </c>
      <c r="G196" s="314" t="s">
        <v>639</v>
      </c>
      <c r="H196" s="292" t="s">
        <v>236</v>
      </c>
    </row>
    <row r="197" spans="1:9" ht="38.450000000000003" customHeight="1" x14ac:dyDescent="0.2">
      <c r="A197" s="319">
        <v>192</v>
      </c>
      <c r="B197" s="314" t="s">
        <v>380</v>
      </c>
      <c r="C197" s="314" t="s">
        <v>11</v>
      </c>
      <c r="D197" s="314" t="s">
        <v>230</v>
      </c>
      <c r="E197" s="314" t="s">
        <v>1528</v>
      </c>
      <c r="F197" s="315" t="s">
        <v>14</v>
      </c>
      <c r="G197" s="314" t="s">
        <v>639</v>
      </c>
      <c r="H197" s="292" t="s">
        <v>236</v>
      </c>
    </row>
    <row r="198" spans="1:9" ht="38.25" x14ac:dyDescent="0.2">
      <c r="A198" s="290">
        <v>193</v>
      </c>
      <c r="B198" s="314" t="s">
        <v>381</v>
      </c>
      <c r="C198" s="314" t="s">
        <v>11</v>
      </c>
      <c r="D198" s="314" t="s">
        <v>228</v>
      </c>
      <c r="E198" s="314" t="s">
        <v>382</v>
      </c>
      <c r="F198" s="315" t="s">
        <v>14</v>
      </c>
      <c r="G198" s="314" t="s">
        <v>632</v>
      </c>
      <c r="H198" s="292" t="s">
        <v>236</v>
      </c>
    </row>
    <row r="199" spans="1:9" ht="49.15" customHeight="1" x14ac:dyDescent="0.2">
      <c r="A199" s="290">
        <v>194</v>
      </c>
      <c r="B199" s="314" t="s">
        <v>383</v>
      </c>
      <c r="C199" s="314" t="s">
        <v>11</v>
      </c>
      <c r="D199" s="314" t="s">
        <v>230</v>
      </c>
      <c r="E199" s="314" t="s">
        <v>384</v>
      </c>
      <c r="F199" s="315" t="s">
        <v>14</v>
      </c>
      <c r="G199" s="314" t="s">
        <v>632</v>
      </c>
      <c r="H199" s="314" t="s">
        <v>236</v>
      </c>
    </row>
    <row r="200" spans="1:9" ht="63" customHeight="1" x14ac:dyDescent="0.2">
      <c r="A200" s="290">
        <v>195</v>
      </c>
      <c r="B200" s="293" t="s">
        <v>606</v>
      </c>
      <c r="C200" s="293" t="s">
        <v>11</v>
      </c>
      <c r="D200" s="176" t="s">
        <v>604</v>
      </c>
      <c r="E200" s="295" t="s">
        <v>1592</v>
      </c>
      <c r="F200" s="290" t="s">
        <v>15</v>
      </c>
      <c r="G200" s="287" t="s">
        <v>43</v>
      </c>
      <c r="H200" s="176" t="s">
        <v>15</v>
      </c>
    </row>
    <row r="201" spans="1:9" ht="62.45" customHeight="1" x14ac:dyDescent="0.2">
      <c r="A201" s="290">
        <v>196</v>
      </c>
      <c r="B201" s="293" t="s">
        <v>605</v>
      </c>
      <c r="C201" s="293" t="s">
        <v>11</v>
      </c>
      <c r="D201" s="176" t="s">
        <v>604</v>
      </c>
      <c r="E201" s="295" t="s">
        <v>1529</v>
      </c>
      <c r="F201" s="290" t="s">
        <v>14</v>
      </c>
      <c r="G201" s="287" t="s">
        <v>1593</v>
      </c>
      <c r="H201" s="176" t="s">
        <v>607</v>
      </c>
    </row>
    <row r="202" spans="1:9" ht="76.5" x14ac:dyDescent="0.2">
      <c r="A202" s="290">
        <v>197</v>
      </c>
      <c r="B202" s="287" t="s">
        <v>597</v>
      </c>
      <c r="C202" s="294" t="s">
        <v>11</v>
      </c>
      <c r="D202" s="294" t="s">
        <v>231</v>
      </c>
      <c r="E202" s="316" t="s">
        <v>1530</v>
      </c>
      <c r="F202" s="290" t="s">
        <v>15</v>
      </c>
      <c r="G202" s="287" t="s">
        <v>43</v>
      </c>
      <c r="H202" s="176" t="s">
        <v>15</v>
      </c>
    </row>
    <row r="203" spans="1:9" ht="63.75" x14ac:dyDescent="0.2">
      <c r="A203" s="290">
        <v>198</v>
      </c>
      <c r="B203" s="287" t="s">
        <v>1594</v>
      </c>
      <c r="C203" s="294" t="s">
        <v>11</v>
      </c>
      <c r="D203" s="294" t="s">
        <v>231</v>
      </c>
      <c r="E203" s="287" t="s">
        <v>1531</v>
      </c>
      <c r="F203" s="290" t="s">
        <v>15</v>
      </c>
      <c r="G203" s="287" t="s">
        <v>43</v>
      </c>
      <c r="H203" s="176" t="s">
        <v>15</v>
      </c>
    </row>
    <row r="204" spans="1:9" ht="109.15" customHeight="1" x14ac:dyDescent="0.2">
      <c r="A204" s="290">
        <v>199</v>
      </c>
      <c r="B204" s="287" t="s">
        <v>1595</v>
      </c>
      <c r="C204" s="294" t="s">
        <v>11</v>
      </c>
      <c r="D204" s="294" t="s">
        <v>231</v>
      </c>
      <c r="E204" s="287" t="s">
        <v>603</v>
      </c>
      <c r="F204" s="290" t="s">
        <v>15</v>
      </c>
      <c r="G204" s="287" t="s">
        <v>43</v>
      </c>
      <c r="H204" s="176" t="s">
        <v>15</v>
      </c>
    </row>
    <row r="205" spans="1:9" ht="117" customHeight="1" x14ac:dyDescent="0.2">
      <c r="A205" s="290">
        <v>200</v>
      </c>
      <c r="B205" s="287" t="s">
        <v>1596</v>
      </c>
      <c r="C205" s="294" t="s">
        <v>11</v>
      </c>
      <c r="D205" s="294" t="s">
        <v>231</v>
      </c>
      <c r="E205" s="287" t="s">
        <v>602</v>
      </c>
      <c r="F205" s="290" t="s">
        <v>15</v>
      </c>
      <c r="G205" s="287" t="s">
        <v>43</v>
      </c>
      <c r="H205" s="176" t="s">
        <v>15</v>
      </c>
    </row>
    <row r="206" spans="1:9" ht="130.15" customHeight="1" x14ac:dyDescent="0.2">
      <c r="A206" s="290">
        <v>201</v>
      </c>
      <c r="B206" s="287" t="s">
        <v>1597</v>
      </c>
      <c r="C206" s="294" t="s">
        <v>11</v>
      </c>
      <c r="D206" s="294" t="s">
        <v>231</v>
      </c>
      <c r="E206" s="287" t="s">
        <v>601</v>
      </c>
      <c r="F206" s="290" t="s">
        <v>15</v>
      </c>
      <c r="G206" s="287" t="s">
        <v>43</v>
      </c>
      <c r="H206" s="176" t="s">
        <v>15</v>
      </c>
    </row>
    <row r="207" spans="1:9" ht="90.6" customHeight="1" x14ac:dyDescent="0.2">
      <c r="A207" s="290">
        <v>202</v>
      </c>
      <c r="B207" s="287" t="s">
        <v>1598</v>
      </c>
      <c r="C207" s="294" t="s">
        <v>11</v>
      </c>
      <c r="D207" s="294" t="s">
        <v>231</v>
      </c>
      <c r="E207" s="287" t="s">
        <v>1532</v>
      </c>
      <c r="F207" s="290" t="s">
        <v>15</v>
      </c>
      <c r="G207" s="287" t="s">
        <v>43</v>
      </c>
      <c r="H207" s="176" t="s">
        <v>15</v>
      </c>
    </row>
    <row r="208" spans="1:9" ht="90" customHeight="1" x14ac:dyDescent="0.2">
      <c r="A208" s="290">
        <v>203</v>
      </c>
      <c r="B208" s="287" t="s">
        <v>1599</v>
      </c>
      <c r="C208" s="294" t="s">
        <v>11</v>
      </c>
      <c r="D208" s="294" t="s">
        <v>231</v>
      </c>
      <c r="E208" s="287" t="s">
        <v>1533</v>
      </c>
      <c r="F208" s="290" t="s">
        <v>15</v>
      </c>
      <c r="G208" s="287" t="s">
        <v>43</v>
      </c>
      <c r="H208" s="176" t="s">
        <v>15</v>
      </c>
    </row>
    <row r="209" spans="1:8" ht="216.75" x14ac:dyDescent="0.2">
      <c r="A209" s="290">
        <v>204</v>
      </c>
      <c r="B209" s="287" t="s">
        <v>1600</v>
      </c>
      <c r="C209" s="294" t="s">
        <v>11</v>
      </c>
      <c r="D209" s="294" t="s">
        <v>231</v>
      </c>
      <c r="E209" s="287" t="s">
        <v>600</v>
      </c>
      <c r="F209" s="290" t="s">
        <v>14</v>
      </c>
      <c r="G209" s="287" t="s">
        <v>1601</v>
      </c>
      <c r="H209" s="176" t="s">
        <v>611</v>
      </c>
    </row>
    <row r="210" spans="1:8" ht="117.6" customHeight="1" x14ac:dyDescent="0.2">
      <c r="A210" s="290">
        <v>205</v>
      </c>
      <c r="B210" s="287" t="s">
        <v>1602</v>
      </c>
      <c r="C210" s="294" t="s">
        <v>11</v>
      </c>
      <c r="D210" s="294" t="s">
        <v>231</v>
      </c>
      <c r="E210" s="287" t="s">
        <v>1534</v>
      </c>
      <c r="F210" s="290" t="s">
        <v>15</v>
      </c>
      <c r="G210" s="287" t="s">
        <v>43</v>
      </c>
      <c r="H210" s="176" t="s">
        <v>15</v>
      </c>
    </row>
    <row r="211" spans="1:8" ht="140.25" x14ac:dyDescent="0.2">
      <c r="A211" s="290">
        <v>206</v>
      </c>
      <c r="B211" s="287" t="s">
        <v>1603</v>
      </c>
      <c r="C211" s="294" t="s">
        <v>11</v>
      </c>
      <c r="D211" s="294" t="s">
        <v>231</v>
      </c>
      <c r="E211" s="287" t="s">
        <v>1535</v>
      </c>
      <c r="F211" s="290" t="s">
        <v>15</v>
      </c>
      <c r="G211" s="287" t="s">
        <v>43</v>
      </c>
      <c r="H211" s="176" t="s">
        <v>15</v>
      </c>
    </row>
    <row r="212" spans="1:8" ht="127.5" x14ac:dyDescent="0.2">
      <c r="A212" s="290">
        <v>207</v>
      </c>
      <c r="B212" s="287" t="s">
        <v>1604</v>
      </c>
      <c r="C212" s="294" t="s">
        <v>11</v>
      </c>
      <c r="D212" s="294" t="s">
        <v>231</v>
      </c>
      <c r="E212" s="287" t="s">
        <v>1536</v>
      </c>
      <c r="F212" s="290" t="s">
        <v>15</v>
      </c>
      <c r="G212" s="287" t="s">
        <v>43</v>
      </c>
      <c r="H212" s="176" t="s">
        <v>15</v>
      </c>
    </row>
    <row r="213" spans="1:8" ht="76.5" x14ac:dyDescent="0.2">
      <c r="A213" s="290">
        <v>208</v>
      </c>
      <c r="B213" s="287" t="s">
        <v>1605</v>
      </c>
      <c r="C213" s="294" t="s">
        <v>11</v>
      </c>
      <c r="D213" s="294" t="s">
        <v>231</v>
      </c>
      <c r="E213" s="287" t="s">
        <v>1537</v>
      </c>
      <c r="F213" s="176" t="s">
        <v>15</v>
      </c>
      <c r="G213" s="176" t="s">
        <v>43</v>
      </c>
      <c r="H213" s="176" t="s">
        <v>15</v>
      </c>
    </row>
    <row r="214" spans="1:8" ht="76.5" x14ac:dyDescent="0.2">
      <c r="A214" s="290">
        <v>209</v>
      </c>
      <c r="B214" s="287" t="s">
        <v>1606</v>
      </c>
      <c r="C214" s="294" t="s">
        <v>11</v>
      </c>
      <c r="D214" s="294" t="s">
        <v>231</v>
      </c>
      <c r="E214" s="287" t="s">
        <v>599</v>
      </c>
      <c r="F214" s="176" t="s">
        <v>15</v>
      </c>
      <c r="G214" s="176" t="s">
        <v>43</v>
      </c>
      <c r="H214" s="176" t="s">
        <v>15</v>
      </c>
    </row>
  </sheetData>
  <mergeCells count="3">
    <mergeCell ref="F4:G4"/>
    <mergeCell ref="C1:E1"/>
    <mergeCell ref="C2:E2"/>
  </mergeCells>
  <dataValidations count="1">
    <dataValidation type="list" allowBlank="1" showInputMessage="1" showErrorMessage="1" sqref="C6:D112 C115:D137 C139:D151 C200:C201">
      <formula1>#REF!</formula1>
    </dataValidation>
  </dataValidations>
  <pageMargins left="0.7" right="0.7" top="0.75" bottom="0.75" header="0.3" footer="0.3"/>
  <pageSetup paperSize="5" fitToHeight="0" orientation="landscape" r:id="rId1"/>
  <headerFooter>
    <oddHeader>&amp;C&amp;"Arial,Bold"&amp;14&amp;ULaws
&amp;"Arial,Regular"&amp;12&amp;U(Study Step 1: Agency Legal Directives, Plan and Resources)&amp;RJanuary 2018 PER</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'[2]Drop Down Options'!#REF!</xm:f>
          </x14:formula1>
          <xm:sqref>F6:F140 F174</xm:sqref>
        </x14:dataValidation>
        <x14:dataValidation type="list" allowBlank="1" showInputMessage="1" showErrorMessage="1">
          <x14:formula1>
            <xm:f>'[2]Drop Down Options'!#REF!</xm:f>
          </x14:formula1>
          <xm:sqref>H150:H151 H153 H169:H171 H162:H163 H148 H190:H198 H173:H188 H6:H144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8"/>
  <sheetViews>
    <sheetView topLeftCell="A22" zoomScaleNormal="100" workbookViewId="0">
      <selection activeCell="C50" sqref="C50"/>
    </sheetView>
  </sheetViews>
  <sheetFormatPr defaultColWidth="9.140625" defaultRowHeight="12.75" x14ac:dyDescent="0.2"/>
  <cols>
    <col min="1" max="1" width="6.42578125" style="31" bestFit="1" customWidth="1"/>
    <col min="2" max="2" width="19.140625" style="31" customWidth="1"/>
    <col min="3" max="3" width="20.85546875" style="31" customWidth="1"/>
    <col min="4" max="4" width="27.7109375" style="31" customWidth="1"/>
    <col min="5" max="5" width="23.42578125" style="31" customWidth="1"/>
    <col min="6" max="6" width="28.42578125" style="31" customWidth="1"/>
    <col min="7" max="7" width="20.5703125" style="31" customWidth="1"/>
    <col min="8" max="8" width="19" style="31" customWidth="1"/>
    <col min="9" max="9" width="11.5703125" style="31" customWidth="1"/>
    <col min="10" max="10" width="13.28515625" style="31" customWidth="1"/>
    <col min="11" max="11" width="12" style="31" customWidth="1"/>
    <col min="12" max="12" width="12.28515625" style="31" customWidth="1"/>
    <col min="13" max="13" width="17.28515625" style="31" customWidth="1"/>
    <col min="14" max="14" width="18.5703125" style="31" customWidth="1"/>
    <col min="15" max="16384" width="9.140625" style="31"/>
  </cols>
  <sheetData>
    <row r="1" spans="1:13" ht="12.75" customHeight="1" x14ac:dyDescent="0.2">
      <c r="B1" s="1" t="s">
        <v>0</v>
      </c>
      <c r="C1" s="322" t="s">
        <v>806</v>
      </c>
      <c r="D1" s="322"/>
      <c r="E1" s="49"/>
      <c r="F1" s="49"/>
      <c r="G1" s="49"/>
      <c r="H1" s="49"/>
      <c r="K1" s="51"/>
    </row>
    <row r="2" spans="1:13" ht="12.75" customHeight="1" x14ac:dyDescent="0.2">
      <c r="B2" s="1" t="s">
        <v>1</v>
      </c>
      <c r="C2" s="323">
        <v>43210</v>
      </c>
      <c r="D2" s="323"/>
      <c r="E2" s="49"/>
      <c r="F2" s="49"/>
      <c r="G2" s="49"/>
      <c r="H2" s="49"/>
      <c r="K2" s="50"/>
    </row>
    <row r="3" spans="1:13" x14ac:dyDescent="0.2">
      <c r="B3" s="13"/>
      <c r="C3" s="49"/>
      <c r="D3" s="49"/>
      <c r="E3" s="49"/>
      <c r="F3" s="49"/>
      <c r="G3" s="49"/>
      <c r="H3" s="49"/>
      <c r="K3" s="50"/>
    </row>
    <row r="4" spans="1:13" ht="126" customHeight="1" x14ac:dyDescent="0.2">
      <c r="A4" s="3" t="s">
        <v>5</v>
      </c>
      <c r="B4" s="7" t="s">
        <v>33</v>
      </c>
      <c r="C4" s="7" t="s">
        <v>34</v>
      </c>
      <c r="D4" s="7" t="s">
        <v>144</v>
      </c>
      <c r="E4" s="3" t="s">
        <v>176</v>
      </c>
      <c r="F4" s="7" t="s">
        <v>278</v>
      </c>
      <c r="G4" s="25" t="s">
        <v>175</v>
      </c>
      <c r="H4" s="6" t="s">
        <v>131</v>
      </c>
      <c r="I4" s="6" t="s">
        <v>132</v>
      </c>
      <c r="J4" s="6" t="s">
        <v>126</v>
      </c>
      <c r="K4" s="6" t="s">
        <v>133</v>
      </c>
      <c r="L4" s="6" t="s">
        <v>162</v>
      </c>
      <c r="M4" s="3" t="s">
        <v>251</v>
      </c>
    </row>
    <row r="5" spans="1:13" s="15" customFormat="1" ht="140.25" x14ac:dyDescent="0.2">
      <c r="A5" s="14">
        <v>1</v>
      </c>
      <c r="B5" s="14" t="s">
        <v>857</v>
      </c>
      <c r="C5" s="14" t="s">
        <v>858</v>
      </c>
      <c r="D5" s="14" t="s">
        <v>248</v>
      </c>
      <c r="E5" s="14"/>
      <c r="F5" s="81" t="s">
        <v>1239</v>
      </c>
      <c r="G5" s="52" t="s">
        <v>14</v>
      </c>
      <c r="H5" s="14" t="s">
        <v>14</v>
      </c>
      <c r="I5" s="14" t="s">
        <v>14</v>
      </c>
      <c r="J5" s="14" t="s">
        <v>15</v>
      </c>
      <c r="K5" s="14" t="s">
        <v>15</v>
      </c>
      <c r="L5" s="14" t="s">
        <v>14</v>
      </c>
      <c r="M5" s="14" t="s">
        <v>584</v>
      </c>
    </row>
    <row r="6" spans="1:13" s="49" customFormat="1" ht="38.25" x14ac:dyDescent="0.2">
      <c r="A6" s="14">
        <f>A5+1</f>
        <v>2</v>
      </c>
      <c r="B6" s="14" t="s">
        <v>682</v>
      </c>
      <c r="C6" s="14" t="s">
        <v>859</v>
      </c>
      <c r="D6" s="14" t="s">
        <v>248</v>
      </c>
      <c r="E6" s="14"/>
      <c r="F6" s="81" t="s">
        <v>1239</v>
      </c>
      <c r="G6" s="52" t="s">
        <v>15</v>
      </c>
      <c r="H6" s="14" t="s">
        <v>14</v>
      </c>
      <c r="I6" s="14" t="s">
        <v>14</v>
      </c>
      <c r="J6" s="14" t="s">
        <v>15</v>
      </c>
      <c r="K6" s="14" t="s">
        <v>15</v>
      </c>
      <c r="L6" s="14" t="s">
        <v>14</v>
      </c>
      <c r="M6" s="14"/>
    </row>
    <row r="7" spans="1:13" s="49" customFormat="1" ht="38.25" x14ac:dyDescent="0.2">
      <c r="A7" s="14">
        <f t="shared" ref="A7:A70" si="0">A6+1</f>
        <v>3</v>
      </c>
      <c r="B7" s="14" t="s">
        <v>683</v>
      </c>
      <c r="C7" s="14" t="s">
        <v>859</v>
      </c>
      <c r="D7" s="14" t="s">
        <v>250</v>
      </c>
      <c r="E7" s="14"/>
      <c r="F7" s="81" t="s">
        <v>1239</v>
      </c>
      <c r="G7" s="52" t="s">
        <v>15</v>
      </c>
      <c r="H7" s="14" t="s">
        <v>15</v>
      </c>
      <c r="I7" s="14" t="s">
        <v>14</v>
      </c>
      <c r="J7" s="14" t="s">
        <v>15</v>
      </c>
      <c r="K7" s="14" t="s">
        <v>15</v>
      </c>
      <c r="L7" s="14" t="s">
        <v>15</v>
      </c>
      <c r="M7" s="14" t="s">
        <v>584</v>
      </c>
    </row>
    <row r="8" spans="1:13" s="49" customFormat="1" ht="140.25" x14ac:dyDescent="0.2">
      <c r="A8" s="14">
        <f t="shared" si="0"/>
        <v>4</v>
      </c>
      <c r="B8" s="14" t="s">
        <v>684</v>
      </c>
      <c r="C8" s="14" t="s">
        <v>860</v>
      </c>
      <c r="D8" s="14" t="s">
        <v>248</v>
      </c>
      <c r="E8" s="14"/>
      <c r="F8" s="14" t="s">
        <v>861</v>
      </c>
      <c r="G8" s="52" t="s">
        <v>14</v>
      </c>
      <c r="H8" s="14" t="s">
        <v>14</v>
      </c>
      <c r="I8" s="14" t="s">
        <v>14</v>
      </c>
      <c r="J8" s="14" t="s">
        <v>14</v>
      </c>
      <c r="K8" s="14" t="s">
        <v>14</v>
      </c>
      <c r="L8" s="14" t="s">
        <v>14</v>
      </c>
      <c r="M8" s="14"/>
    </row>
    <row r="9" spans="1:13" s="49" customFormat="1" ht="102" x14ac:dyDescent="0.2">
      <c r="A9" s="14">
        <f t="shared" si="0"/>
        <v>5</v>
      </c>
      <c r="B9" s="14" t="s">
        <v>862</v>
      </c>
      <c r="C9" s="14" t="s">
        <v>863</v>
      </c>
      <c r="D9" s="14" t="s">
        <v>248</v>
      </c>
      <c r="E9" s="14"/>
      <c r="F9" s="14" t="s">
        <v>861</v>
      </c>
      <c r="G9" s="52" t="s">
        <v>14</v>
      </c>
      <c r="H9" s="14" t="s">
        <v>14</v>
      </c>
      <c r="I9" s="14" t="s">
        <v>14</v>
      </c>
      <c r="J9" s="14" t="s">
        <v>14</v>
      </c>
      <c r="K9" s="14" t="s">
        <v>14</v>
      </c>
      <c r="L9" s="14" t="s">
        <v>14</v>
      </c>
      <c r="M9" s="14"/>
    </row>
    <row r="10" spans="1:13" s="49" customFormat="1" ht="204" x14ac:dyDescent="0.2">
      <c r="A10" s="14">
        <f t="shared" si="0"/>
        <v>6</v>
      </c>
      <c r="B10" s="14" t="s">
        <v>864</v>
      </c>
      <c r="C10" s="14" t="s">
        <v>865</v>
      </c>
      <c r="D10" s="14" t="s">
        <v>248</v>
      </c>
      <c r="E10" s="14"/>
      <c r="F10" s="14" t="s">
        <v>861</v>
      </c>
      <c r="G10" s="14" t="s">
        <v>14</v>
      </c>
      <c r="H10" s="14" t="s">
        <v>14</v>
      </c>
      <c r="I10" s="14" t="s">
        <v>14</v>
      </c>
      <c r="J10" s="14" t="s">
        <v>14</v>
      </c>
      <c r="K10" s="14" t="s">
        <v>14</v>
      </c>
      <c r="L10" s="14" t="s">
        <v>14</v>
      </c>
      <c r="M10" s="14"/>
    </row>
    <row r="11" spans="1:13" s="49" customFormat="1" ht="89.25" x14ac:dyDescent="0.2">
      <c r="A11" s="14">
        <f t="shared" si="0"/>
        <v>7</v>
      </c>
      <c r="B11" s="14" t="s">
        <v>685</v>
      </c>
      <c r="C11" s="14" t="s">
        <v>866</v>
      </c>
      <c r="D11" s="14" t="s">
        <v>248</v>
      </c>
      <c r="E11" s="14"/>
      <c r="F11" s="14" t="s">
        <v>861</v>
      </c>
      <c r="G11" s="14" t="s">
        <v>14</v>
      </c>
      <c r="H11" s="14" t="s">
        <v>14</v>
      </c>
      <c r="I11" s="14" t="s">
        <v>14</v>
      </c>
      <c r="J11" s="14" t="s">
        <v>14</v>
      </c>
      <c r="K11" s="14" t="s">
        <v>14</v>
      </c>
      <c r="L11" s="14" t="s">
        <v>14</v>
      </c>
      <c r="M11" s="14"/>
    </row>
    <row r="12" spans="1:13" s="49" customFormat="1" ht="267.75" x14ac:dyDescent="0.2">
      <c r="A12" s="14">
        <f t="shared" si="0"/>
        <v>8</v>
      </c>
      <c r="B12" s="14" t="s">
        <v>686</v>
      </c>
      <c r="C12" s="14" t="s">
        <v>867</v>
      </c>
      <c r="D12" s="14" t="s">
        <v>248</v>
      </c>
      <c r="E12" s="14"/>
      <c r="F12" s="14" t="s">
        <v>861</v>
      </c>
      <c r="G12" s="14" t="s">
        <v>14</v>
      </c>
      <c r="H12" s="14" t="s">
        <v>14</v>
      </c>
      <c r="I12" s="14" t="s">
        <v>14</v>
      </c>
      <c r="J12" s="14" t="s">
        <v>14</v>
      </c>
      <c r="K12" s="14" t="s">
        <v>14</v>
      </c>
      <c r="L12" s="14" t="s">
        <v>14</v>
      </c>
      <c r="M12" s="14"/>
    </row>
    <row r="13" spans="1:13" s="49" customFormat="1" ht="51" x14ac:dyDescent="0.2">
      <c r="A13" s="14">
        <f t="shared" si="0"/>
        <v>9</v>
      </c>
      <c r="B13" s="14" t="s">
        <v>687</v>
      </c>
      <c r="C13" s="14" t="s">
        <v>868</v>
      </c>
      <c r="D13" s="14" t="s">
        <v>248</v>
      </c>
      <c r="E13" s="14"/>
      <c r="F13" s="14" t="s">
        <v>861</v>
      </c>
      <c r="G13" s="14" t="s">
        <v>14</v>
      </c>
      <c r="H13" s="14" t="s">
        <v>14</v>
      </c>
      <c r="I13" s="14" t="s">
        <v>14</v>
      </c>
      <c r="J13" s="14" t="s">
        <v>14</v>
      </c>
      <c r="K13" s="14" t="s">
        <v>14</v>
      </c>
      <c r="L13" s="14" t="s">
        <v>14</v>
      </c>
      <c r="M13" s="14"/>
    </row>
    <row r="14" spans="1:13" s="49" customFormat="1" ht="229.5" x14ac:dyDescent="0.2">
      <c r="A14" s="14">
        <f t="shared" si="0"/>
        <v>10</v>
      </c>
      <c r="B14" s="14" t="s">
        <v>869</v>
      </c>
      <c r="C14" s="14" t="s">
        <v>870</v>
      </c>
      <c r="D14" s="14" t="s">
        <v>248</v>
      </c>
      <c r="E14" s="14"/>
      <c r="F14" s="14" t="s">
        <v>861</v>
      </c>
      <c r="G14" s="14" t="s">
        <v>14</v>
      </c>
      <c r="H14" s="14" t="s">
        <v>14</v>
      </c>
      <c r="I14" s="14" t="s">
        <v>14</v>
      </c>
      <c r="J14" s="14" t="s">
        <v>14</v>
      </c>
      <c r="K14" s="14" t="s">
        <v>14</v>
      </c>
      <c r="L14" s="14" t="s">
        <v>14</v>
      </c>
      <c r="M14" s="14"/>
    </row>
    <row r="15" spans="1:13" s="49" customFormat="1" ht="140.25" x14ac:dyDescent="0.2">
      <c r="A15" s="14">
        <f t="shared" si="0"/>
        <v>11</v>
      </c>
      <c r="B15" s="14" t="s">
        <v>688</v>
      </c>
      <c r="C15" s="14" t="s">
        <v>871</v>
      </c>
      <c r="D15" s="14" t="s">
        <v>248</v>
      </c>
      <c r="E15" s="14"/>
      <c r="F15" s="14" t="s">
        <v>861</v>
      </c>
      <c r="G15" s="14" t="s">
        <v>14</v>
      </c>
      <c r="H15" s="14" t="s">
        <v>14</v>
      </c>
      <c r="I15" s="14" t="s">
        <v>14</v>
      </c>
      <c r="J15" s="14" t="s">
        <v>14</v>
      </c>
      <c r="K15" s="14" t="s">
        <v>14</v>
      </c>
      <c r="L15" s="14" t="s">
        <v>14</v>
      </c>
      <c r="M15" s="14"/>
    </row>
    <row r="16" spans="1:13" ht="409.5" x14ac:dyDescent="0.2">
      <c r="A16" s="14">
        <f t="shared" si="0"/>
        <v>12</v>
      </c>
      <c r="B16" s="14" t="s">
        <v>872</v>
      </c>
      <c r="C16" s="14" t="s">
        <v>873</v>
      </c>
      <c r="D16" s="14" t="s">
        <v>248</v>
      </c>
      <c r="E16" s="14"/>
      <c r="F16" s="14" t="s">
        <v>861</v>
      </c>
      <c r="G16" s="14" t="s">
        <v>14</v>
      </c>
      <c r="H16" s="14" t="s">
        <v>14</v>
      </c>
      <c r="I16" s="14" t="s">
        <v>14</v>
      </c>
      <c r="J16" s="14" t="s">
        <v>14</v>
      </c>
      <c r="K16" s="14" t="s">
        <v>14</v>
      </c>
      <c r="L16" s="14" t="s">
        <v>14</v>
      </c>
      <c r="M16" s="14"/>
    </row>
    <row r="17" spans="1:13" ht="357" x14ac:dyDescent="0.2">
      <c r="A17" s="14">
        <f t="shared" si="0"/>
        <v>13</v>
      </c>
      <c r="B17" s="14" t="s">
        <v>689</v>
      </c>
      <c r="C17" s="14" t="s">
        <v>874</v>
      </c>
      <c r="D17" s="14" t="s">
        <v>248</v>
      </c>
      <c r="E17" s="14"/>
      <c r="F17" s="14" t="s">
        <v>861</v>
      </c>
      <c r="G17" s="14" t="s">
        <v>14</v>
      </c>
      <c r="H17" s="14" t="s">
        <v>14</v>
      </c>
      <c r="I17" s="14" t="s">
        <v>14</v>
      </c>
      <c r="J17" s="14" t="s">
        <v>14</v>
      </c>
      <c r="K17" s="14" t="s">
        <v>14</v>
      </c>
      <c r="L17" s="14" t="s">
        <v>14</v>
      </c>
      <c r="M17" s="14"/>
    </row>
    <row r="18" spans="1:13" ht="165.75" x14ac:dyDescent="0.2">
      <c r="A18" s="14">
        <f t="shared" si="0"/>
        <v>14</v>
      </c>
      <c r="B18" s="14" t="s">
        <v>690</v>
      </c>
      <c r="C18" s="14" t="s">
        <v>875</v>
      </c>
      <c r="D18" s="14" t="s">
        <v>248</v>
      </c>
      <c r="E18" s="14"/>
      <c r="F18" s="14" t="s">
        <v>861</v>
      </c>
      <c r="G18" s="14" t="s">
        <v>14</v>
      </c>
      <c r="H18" s="14" t="s">
        <v>14</v>
      </c>
      <c r="I18" s="14" t="s">
        <v>14</v>
      </c>
      <c r="J18" s="14" t="s">
        <v>14</v>
      </c>
      <c r="K18" s="14" t="s">
        <v>14</v>
      </c>
      <c r="L18" s="14" t="s">
        <v>14</v>
      </c>
      <c r="M18" s="14"/>
    </row>
    <row r="19" spans="1:13" ht="369" customHeight="1" x14ac:dyDescent="0.2">
      <c r="A19" s="14">
        <f t="shared" si="0"/>
        <v>15</v>
      </c>
      <c r="B19" s="88" t="s">
        <v>959</v>
      </c>
      <c r="C19" s="14" t="s">
        <v>876</v>
      </c>
      <c r="D19" s="14" t="s">
        <v>248</v>
      </c>
      <c r="E19" s="14"/>
      <c r="F19" s="14" t="s">
        <v>861</v>
      </c>
      <c r="G19" s="14" t="s">
        <v>14</v>
      </c>
      <c r="H19" s="14" t="s">
        <v>14</v>
      </c>
      <c r="I19" s="14" t="s">
        <v>14</v>
      </c>
      <c r="J19" s="14" t="s">
        <v>14</v>
      </c>
      <c r="K19" s="14" t="s">
        <v>14</v>
      </c>
      <c r="L19" s="14" t="s">
        <v>14</v>
      </c>
      <c r="M19" s="14"/>
    </row>
    <row r="20" spans="1:13" ht="127.5" x14ac:dyDescent="0.2">
      <c r="A20" s="14">
        <f t="shared" si="0"/>
        <v>16</v>
      </c>
      <c r="B20" s="14" t="s">
        <v>877</v>
      </c>
      <c r="C20" s="14" t="s">
        <v>878</v>
      </c>
      <c r="D20" s="14" t="s">
        <v>248</v>
      </c>
      <c r="E20" s="14"/>
      <c r="F20" s="14" t="s">
        <v>861</v>
      </c>
      <c r="G20" s="14" t="s">
        <v>14</v>
      </c>
      <c r="H20" s="14" t="s">
        <v>14</v>
      </c>
      <c r="I20" s="14" t="s">
        <v>14</v>
      </c>
      <c r="J20" s="14" t="s">
        <v>14</v>
      </c>
      <c r="K20" s="14" t="s">
        <v>14</v>
      </c>
      <c r="L20" s="14" t="s">
        <v>14</v>
      </c>
      <c r="M20" s="14"/>
    </row>
    <row r="21" spans="1:13" ht="408" x14ac:dyDescent="0.2">
      <c r="A21" s="14">
        <f t="shared" si="0"/>
        <v>17</v>
      </c>
      <c r="B21" s="14" t="s">
        <v>691</v>
      </c>
      <c r="C21" s="14" t="s">
        <v>879</v>
      </c>
      <c r="D21" s="14" t="s">
        <v>248</v>
      </c>
      <c r="E21" s="14"/>
      <c r="G21" s="14" t="s">
        <v>14</v>
      </c>
      <c r="H21" s="14" t="s">
        <v>14</v>
      </c>
      <c r="I21" s="14" t="s">
        <v>14</v>
      </c>
      <c r="J21" s="14" t="s">
        <v>14</v>
      </c>
      <c r="K21" s="14" t="s">
        <v>14</v>
      </c>
      <c r="L21" s="14" t="s">
        <v>14</v>
      </c>
      <c r="M21" s="14"/>
    </row>
    <row r="22" spans="1:13" ht="409.5" x14ac:dyDescent="0.2">
      <c r="A22" s="14">
        <f t="shared" si="0"/>
        <v>18</v>
      </c>
      <c r="B22" s="14" t="s">
        <v>692</v>
      </c>
      <c r="C22" s="14" t="s">
        <v>880</v>
      </c>
      <c r="D22" s="14"/>
      <c r="E22" s="14"/>
      <c r="F22" s="14" t="s">
        <v>861</v>
      </c>
      <c r="G22" s="14" t="s">
        <v>14</v>
      </c>
      <c r="H22" s="14" t="s">
        <v>14</v>
      </c>
      <c r="I22" s="14" t="s">
        <v>14</v>
      </c>
      <c r="J22" s="14" t="s">
        <v>14</v>
      </c>
      <c r="K22" s="14" t="s">
        <v>14</v>
      </c>
      <c r="L22" s="14"/>
      <c r="M22" s="14"/>
    </row>
    <row r="23" spans="1:13" ht="153" x14ac:dyDescent="0.2">
      <c r="A23" s="14">
        <f t="shared" si="0"/>
        <v>19</v>
      </c>
      <c r="B23" s="14" t="s">
        <v>693</v>
      </c>
      <c r="C23" s="14" t="s">
        <v>881</v>
      </c>
      <c r="D23" s="14" t="s">
        <v>248</v>
      </c>
      <c r="E23" s="14"/>
      <c r="F23" s="14" t="s">
        <v>861</v>
      </c>
      <c r="G23" s="14" t="s">
        <v>14</v>
      </c>
      <c r="H23" s="14" t="s">
        <v>14</v>
      </c>
      <c r="I23" s="14" t="s">
        <v>14</v>
      </c>
      <c r="J23" s="14" t="s">
        <v>14</v>
      </c>
      <c r="K23" s="14" t="s">
        <v>14</v>
      </c>
      <c r="L23" s="14" t="s">
        <v>14</v>
      </c>
      <c r="M23" s="14"/>
    </row>
    <row r="24" spans="1:13" ht="369.75" x14ac:dyDescent="0.2">
      <c r="A24" s="14">
        <f t="shared" si="0"/>
        <v>20</v>
      </c>
      <c r="B24" s="14" t="s">
        <v>882</v>
      </c>
      <c r="C24" s="14" t="s">
        <v>883</v>
      </c>
      <c r="D24" s="14" t="s">
        <v>248</v>
      </c>
      <c r="E24" s="14"/>
      <c r="F24" s="14" t="s">
        <v>861</v>
      </c>
      <c r="G24" s="14" t="s">
        <v>14</v>
      </c>
      <c r="H24" s="14" t="s">
        <v>14</v>
      </c>
      <c r="I24" s="14" t="s">
        <v>14</v>
      </c>
      <c r="J24" s="14" t="s">
        <v>14</v>
      </c>
      <c r="K24" s="14" t="s">
        <v>14</v>
      </c>
      <c r="L24" s="14" t="s">
        <v>14</v>
      </c>
      <c r="M24" s="14"/>
    </row>
    <row r="25" spans="1:13" ht="280.5" x14ac:dyDescent="0.2">
      <c r="A25" s="14">
        <f t="shared" si="0"/>
        <v>21</v>
      </c>
      <c r="B25" s="14" t="s">
        <v>694</v>
      </c>
      <c r="C25" s="14" t="s">
        <v>884</v>
      </c>
      <c r="D25" s="14" t="s">
        <v>248</v>
      </c>
      <c r="E25" s="14"/>
      <c r="F25" s="14" t="s">
        <v>861</v>
      </c>
      <c r="G25" s="14" t="s">
        <v>14</v>
      </c>
      <c r="H25" s="14" t="s">
        <v>14</v>
      </c>
      <c r="I25" s="14" t="s">
        <v>14</v>
      </c>
      <c r="J25" s="14" t="s">
        <v>14</v>
      </c>
      <c r="K25" s="14" t="s">
        <v>14</v>
      </c>
      <c r="L25" s="14" t="s">
        <v>14</v>
      </c>
      <c r="M25" s="14"/>
    </row>
    <row r="26" spans="1:13" ht="204" x14ac:dyDescent="0.2">
      <c r="A26" s="14">
        <f t="shared" si="0"/>
        <v>22</v>
      </c>
      <c r="B26" s="14" t="s">
        <v>695</v>
      </c>
      <c r="C26" s="14" t="s">
        <v>885</v>
      </c>
      <c r="D26" s="14" t="s">
        <v>248</v>
      </c>
      <c r="E26" s="14"/>
      <c r="F26" s="14" t="s">
        <v>861</v>
      </c>
      <c r="G26" s="14" t="s">
        <v>14</v>
      </c>
      <c r="H26" s="14" t="s">
        <v>14</v>
      </c>
      <c r="I26" s="14" t="s">
        <v>14</v>
      </c>
      <c r="J26" s="14" t="s">
        <v>14</v>
      </c>
      <c r="K26" s="14" t="s">
        <v>14</v>
      </c>
      <c r="L26" s="14" t="s">
        <v>14</v>
      </c>
      <c r="M26" s="14"/>
    </row>
    <row r="27" spans="1:13" ht="229.5" x14ac:dyDescent="0.2">
      <c r="A27" s="14">
        <f t="shared" si="0"/>
        <v>23</v>
      </c>
      <c r="B27" s="14" t="s">
        <v>696</v>
      </c>
      <c r="C27" s="14" t="s">
        <v>886</v>
      </c>
      <c r="D27" s="14" t="s">
        <v>248</v>
      </c>
      <c r="E27" s="14"/>
      <c r="F27" s="14" t="s">
        <v>861</v>
      </c>
      <c r="G27" s="14" t="s">
        <v>14</v>
      </c>
      <c r="H27" s="14" t="s">
        <v>14</v>
      </c>
      <c r="I27" s="14" t="s">
        <v>14</v>
      </c>
      <c r="J27" s="14" t="s">
        <v>14</v>
      </c>
      <c r="K27" s="14" t="s">
        <v>14</v>
      </c>
      <c r="L27" s="14" t="s">
        <v>14</v>
      </c>
      <c r="M27" s="14"/>
    </row>
    <row r="28" spans="1:13" ht="204" x14ac:dyDescent="0.2">
      <c r="A28" s="14">
        <f t="shared" si="0"/>
        <v>24</v>
      </c>
      <c r="B28" s="14" t="s">
        <v>697</v>
      </c>
      <c r="C28" s="14" t="s">
        <v>887</v>
      </c>
      <c r="D28" s="14" t="s">
        <v>248</v>
      </c>
      <c r="E28" s="14"/>
      <c r="F28" s="14" t="s">
        <v>861</v>
      </c>
      <c r="G28" s="14" t="s">
        <v>14</v>
      </c>
      <c r="H28" s="14" t="s">
        <v>14</v>
      </c>
      <c r="I28" s="14" t="s">
        <v>14</v>
      </c>
      <c r="J28" s="14" t="s">
        <v>14</v>
      </c>
      <c r="K28" s="14" t="s">
        <v>14</v>
      </c>
      <c r="L28" s="14" t="s">
        <v>14</v>
      </c>
      <c r="M28" s="14"/>
    </row>
    <row r="29" spans="1:13" ht="114.75" x14ac:dyDescent="0.2">
      <c r="A29" s="14">
        <f t="shared" si="0"/>
        <v>25</v>
      </c>
      <c r="B29" s="14" t="s">
        <v>698</v>
      </c>
      <c r="C29" s="14" t="s">
        <v>888</v>
      </c>
      <c r="D29" s="14" t="s">
        <v>248</v>
      </c>
      <c r="E29" s="14"/>
      <c r="F29" s="14" t="s">
        <v>861</v>
      </c>
      <c r="G29" s="14" t="s">
        <v>14</v>
      </c>
      <c r="H29" s="14" t="s">
        <v>14</v>
      </c>
      <c r="I29" s="14" t="s">
        <v>14</v>
      </c>
      <c r="J29" s="14" t="s">
        <v>14</v>
      </c>
      <c r="K29" s="14" t="s">
        <v>14</v>
      </c>
      <c r="L29" s="14" t="s">
        <v>14</v>
      </c>
      <c r="M29" s="14"/>
    </row>
    <row r="30" spans="1:13" ht="409.5" x14ac:dyDescent="0.2">
      <c r="A30" s="14">
        <f t="shared" si="0"/>
        <v>26</v>
      </c>
      <c r="B30" s="14" t="s">
        <v>889</v>
      </c>
      <c r="C30" s="14" t="s">
        <v>890</v>
      </c>
      <c r="D30" s="14" t="s">
        <v>248</v>
      </c>
      <c r="E30" s="14"/>
      <c r="F30" s="14" t="s">
        <v>861</v>
      </c>
      <c r="G30" s="14" t="s">
        <v>14</v>
      </c>
      <c r="H30" s="14" t="s">
        <v>14</v>
      </c>
      <c r="I30" s="14" t="s">
        <v>14</v>
      </c>
      <c r="J30" s="14" t="s">
        <v>14</v>
      </c>
      <c r="K30" s="14" t="s">
        <v>14</v>
      </c>
      <c r="L30" s="14" t="s">
        <v>14</v>
      </c>
      <c r="M30" s="14"/>
    </row>
    <row r="31" spans="1:13" ht="153" x14ac:dyDescent="0.2">
      <c r="A31" s="14">
        <f t="shared" si="0"/>
        <v>27</v>
      </c>
      <c r="B31" s="14" t="s">
        <v>700</v>
      </c>
      <c r="C31" s="14" t="s">
        <v>891</v>
      </c>
      <c r="D31" s="14" t="s">
        <v>248</v>
      </c>
      <c r="E31" s="14"/>
      <c r="F31" s="14" t="s">
        <v>861</v>
      </c>
      <c r="G31" s="14" t="s">
        <v>14</v>
      </c>
      <c r="H31" s="14" t="s">
        <v>14</v>
      </c>
      <c r="I31" s="14"/>
      <c r="J31" s="14" t="s">
        <v>14</v>
      </c>
      <c r="K31" s="14" t="s">
        <v>14</v>
      </c>
      <c r="L31" s="14"/>
      <c r="M31" s="14"/>
    </row>
    <row r="32" spans="1:13" ht="178.5" x14ac:dyDescent="0.2">
      <c r="A32" s="14">
        <f t="shared" si="0"/>
        <v>28</v>
      </c>
      <c r="B32" s="14" t="s">
        <v>701</v>
      </c>
      <c r="C32" s="14" t="s">
        <v>892</v>
      </c>
      <c r="D32" s="14" t="s">
        <v>248</v>
      </c>
      <c r="E32" s="14"/>
      <c r="F32" s="14" t="s">
        <v>861</v>
      </c>
      <c r="G32" s="14" t="s">
        <v>14</v>
      </c>
      <c r="H32" s="14" t="s">
        <v>14</v>
      </c>
      <c r="I32" s="14" t="s">
        <v>14</v>
      </c>
      <c r="J32" s="14" t="s">
        <v>14</v>
      </c>
      <c r="K32" s="14" t="s">
        <v>14</v>
      </c>
      <c r="L32" s="14" t="s">
        <v>14</v>
      </c>
      <c r="M32" s="14"/>
    </row>
    <row r="33" spans="1:13" ht="165.75" x14ac:dyDescent="0.2">
      <c r="A33" s="14">
        <f t="shared" si="0"/>
        <v>29</v>
      </c>
      <c r="B33" s="14" t="s">
        <v>702</v>
      </c>
      <c r="C33" s="14" t="s">
        <v>893</v>
      </c>
      <c r="D33" s="14" t="s">
        <v>248</v>
      </c>
      <c r="E33" s="14"/>
      <c r="F33" s="14" t="s">
        <v>861</v>
      </c>
      <c r="G33" s="14" t="s">
        <v>14</v>
      </c>
      <c r="H33" s="14" t="s">
        <v>14</v>
      </c>
      <c r="I33" s="14" t="s">
        <v>14</v>
      </c>
      <c r="J33" s="14" t="s">
        <v>14</v>
      </c>
      <c r="K33" s="14" t="s">
        <v>14</v>
      </c>
      <c r="L33" s="14" t="s">
        <v>14</v>
      </c>
      <c r="M33" s="14"/>
    </row>
    <row r="34" spans="1:13" ht="63.75" x14ac:dyDescent="0.2">
      <c r="A34" s="14">
        <f t="shared" si="0"/>
        <v>30</v>
      </c>
      <c r="B34" s="14" t="s">
        <v>894</v>
      </c>
      <c r="C34" s="14" t="s">
        <v>895</v>
      </c>
      <c r="D34" s="14" t="s">
        <v>248</v>
      </c>
      <c r="E34" s="14"/>
      <c r="F34" s="14" t="s">
        <v>861</v>
      </c>
      <c r="G34" s="14" t="s">
        <v>14</v>
      </c>
      <c r="H34" s="14" t="s">
        <v>14</v>
      </c>
      <c r="I34" s="14" t="s">
        <v>14</v>
      </c>
      <c r="J34" s="14" t="s">
        <v>14</v>
      </c>
      <c r="K34" s="14" t="s">
        <v>14</v>
      </c>
      <c r="L34" s="14" t="s">
        <v>14</v>
      </c>
      <c r="M34" s="14"/>
    </row>
    <row r="35" spans="1:13" ht="357" x14ac:dyDescent="0.2">
      <c r="A35" s="14">
        <f t="shared" si="0"/>
        <v>31</v>
      </c>
      <c r="B35" s="14" t="s">
        <v>703</v>
      </c>
      <c r="C35" s="14" t="s">
        <v>896</v>
      </c>
      <c r="D35" s="14" t="s">
        <v>248</v>
      </c>
      <c r="E35" s="14"/>
      <c r="F35" s="14" t="s">
        <v>861</v>
      </c>
      <c r="G35" s="14" t="s">
        <v>14</v>
      </c>
      <c r="H35" s="14" t="s">
        <v>14</v>
      </c>
      <c r="I35" s="14" t="s">
        <v>14</v>
      </c>
      <c r="J35" s="14" t="s">
        <v>14</v>
      </c>
      <c r="K35" s="14" t="s">
        <v>14</v>
      </c>
      <c r="L35" s="14" t="s">
        <v>14</v>
      </c>
      <c r="M35" s="14"/>
    </row>
    <row r="36" spans="1:13" ht="153" x14ac:dyDescent="0.2">
      <c r="A36" s="14">
        <f t="shared" si="0"/>
        <v>32</v>
      </c>
      <c r="B36" s="14" t="s">
        <v>704</v>
      </c>
      <c r="C36" s="14" t="s">
        <v>897</v>
      </c>
      <c r="D36" s="14" t="s">
        <v>248</v>
      </c>
      <c r="E36" s="14"/>
      <c r="F36" s="14" t="s">
        <v>861</v>
      </c>
      <c r="G36" s="14" t="s">
        <v>14</v>
      </c>
      <c r="H36" s="14" t="s">
        <v>14</v>
      </c>
      <c r="I36" s="14" t="s">
        <v>14</v>
      </c>
      <c r="J36" s="14" t="s">
        <v>14</v>
      </c>
      <c r="K36" s="14" t="s">
        <v>14</v>
      </c>
      <c r="L36" s="14" t="s">
        <v>14</v>
      </c>
      <c r="M36" s="14"/>
    </row>
    <row r="37" spans="1:13" ht="114.75" x14ac:dyDescent="0.2">
      <c r="A37" s="14">
        <f t="shared" si="0"/>
        <v>33</v>
      </c>
      <c r="B37" s="14" t="s">
        <v>705</v>
      </c>
      <c r="C37" s="14" t="s">
        <v>898</v>
      </c>
      <c r="D37" s="14" t="s">
        <v>248</v>
      </c>
      <c r="E37" s="14"/>
      <c r="F37" s="14" t="s">
        <v>861</v>
      </c>
      <c r="G37" s="14" t="s">
        <v>14</v>
      </c>
      <c r="H37" s="14" t="s">
        <v>14</v>
      </c>
      <c r="I37" s="14" t="s">
        <v>14</v>
      </c>
      <c r="J37" s="14" t="s">
        <v>14</v>
      </c>
      <c r="K37" s="14" t="s">
        <v>14</v>
      </c>
      <c r="L37" s="14" t="s">
        <v>14</v>
      </c>
      <c r="M37" s="14"/>
    </row>
    <row r="38" spans="1:13" ht="153" x14ac:dyDescent="0.2">
      <c r="A38" s="14">
        <f t="shared" si="0"/>
        <v>34</v>
      </c>
      <c r="B38" s="14" t="s">
        <v>706</v>
      </c>
      <c r="C38" s="14" t="s">
        <v>899</v>
      </c>
      <c r="D38" s="14" t="s">
        <v>248</v>
      </c>
      <c r="E38" s="14"/>
      <c r="F38" s="14" t="s">
        <v>861</v>
      </c>
      <c r="G38" s="14" t="s">
        <v>14</v>
      </c>
      <c r="H38" s="14" t="s">
        <v>14</v>
      </c>
      <c r="I38" s="14" t="s">
        <v>14</v>
      </c>
      <c r="J38" s="14" t="s">
        <v>14</v>
      </c>
      <c r="K38" s="14" t="s">
        <v>14</v>
      </c>
      <c r="L38" s="14" t="s">
        <v>14</v>
      </c>
      <c r="M38" s="14"/>
    </row>
    <row r="39" spans="1:13" ht="63.75" x14ac:dyDescent="0.2">
      <c r="A39" s="14">
        <f t="shared" si="0"/>
        <v>35</v>
      </c>
      <c r="B39" s="14" t="s">
        <v>707</v>
      </c>
      <c r="C39" s="14" t="s">
        <v>900</v>
      </c>
      <c r="D39" s="14" t="s">
        <v>248</v>
      </c>
      <c r="E39" s="14"/>
      <c r="F39" s="14" t="s">
        <v>861</v>
      </c>
      <c r="G39" s="14" t="s">
        <v>14</v>
      </c>
      <c r="H39" s="14" t="s">
        <v>14</v>
      </c>
      <c r="I39" s="14" t="s">
        <v>14</v>
      </c>
      <c r="J39" s="14" t="s">
        <v>14</v>
      </c>
      <c r="K39" s="14" t="s">
        <v>14</v>
      </c>
      <c r="L39" s="14" t="s">
        <v>14</v>
      </c>
      <c r="M39" s="14"/>
    </row>
    <row r="40" spans="1:13" ht="140.25" x14ac:dyDescent="0.2">
      <c r="A40" s="14">
        <f t="shared" si="0"/>
        <v>36</v>
      </c>
      <c r="B40" s="14" t="s">
        <v>708</v>
      </c>
      <c r="C40" s="14" t="s">
        <v>901</v>
      </c>
      <c r="D40" s="14" t="s">
        <v>248</v>
      </c>
      <c r="E40" s="14"/>
      <c r="F40" s="14" t="s">
        <v>861</v>
      </c>
      <c r="G40" s="14" t="s">
        <v>14</v>
      </c>
      <c r="H40" s="14" t="s">
        <v>14</v>
      </c>
      <c r="I40" s="14" t="s">
        <v>14</v>
      </c>
      <c r="J40" s="14" t="s">
        <v>14</v>
      </c>
      <c r="K40" s="14" t="s">
        <v>14</v>
      </c>
      <c r="L40" s="14" t="s">
        <v>14</v>
      </c>
      <c r="M40" s="14"/>
    </row>
    <row r="41" spans="1:13" ht="242.25" x14ac:dyDescent="0.2">
      <c r="A41" s="14">
        <f t="shared" si="0"/>
        <v>37</v>
      </c>
      <c r="B41" s="14" t="s">
        <v>966</v>
      </c>
      <c r="C41" s="14" t="s">
        <v>902</v>
      </c>
      <c r="D41" s="14" t="s">
        <v>248</v>
      </c>
      <c r="E41" s="14"/>
      <c r="F41" s="14" t="s">
        <v>861</v>
      </c>
      <c r="G41" s="14" t="s">
        <v>14</v>
      </c>
      <c r="H41" s="14" t="s">
        <v>14</v>
      </c>
      <c r="I41" s="14" t="s">
        <v>14</v>
      </c>
      <c r="J41" s="14" t="s">
        <v>14</v>
      </c>
      <c r="K41" s="14" t="s">
        <v>14</v>
      </c>
      <c r="L41" s="14" t="s">
        <v>14</v>
      </c>
      <c r="M41" s="14"/>
    </row>
    <row r="42" spans="1:13" ht="191.25" x14ac:dyDescent="0.2">
      <c r="A42" s="14">
        <f t="shared" si="0"/>
        <v>38</v>
      </c>
      <c r="B42" s="14" t="s">
        <v>709</v>
      </c>
      <c r="C42" s="14" t="s">
        <v>903</v>
      </c>
      <c r="D42" s="14" t="s">
        <v>248</v>
      </c>
      <c r="E42" s="14"/>
      <c r="F42" s="14" t="s">
        <v>861</v>
      </c>
      <c r="G42" s="14" t="s">
        <v>14</v>
      </c>
      <c r="H42" s="14" t="s">
        <v>14</v>
      </c>
      <c r="I42" s="14" t="s">
        <v>14</v>
      </c>
      <c r="J42" s="14" t="s">
        <v>14</v>
      </c>
      <c r="K42" s="14" t="s">
        <v>14</v>
      </c>
      <c r="L42" s="14" t="s">
        <v>14</v>
      </c>
      <c r="M42" s="14"/>
    </row>
    <row r="43" spans="1:13" ht="409.5" x14ac:dyDescent="0.2">
      <c r="A43" s="14">
        <f t="shared" si="0"/>
        <v>39</v>
      </c>
      <c r="B43" s="33" t="s">
        <v>974</v>
      </c>
      <c r="C43" s="14" t="s">
        <v>904</v>
      </c>
      <c r="D43" s="14" t="s">
        <v>248</v>
      </c>
      <c r="E43" s="14"/>
      <c r="F43" s="14" t="s">
        <v>861</v>
      </c>
      <c r="G43" s="14" t="s">
        <v>14</v>
      </c>
      <c r="H43" s="14" t="s">
        <v>14</v>
      </c>
      <c r="I43" s="14" t="s">
        <v>14</v>
      </c>
      <c r="J43" s="14" t="s">
        <v>14</v>
      </c>
      <c r="K43" s="14" t="s">
        <v>14</v>
      </c>
      <c r="L43" s="14" t="s">
        <v>14</v>
      </c>
      <c r="M43" s="14"/>
    </row>
    <row r="44" spans="1:13" ht="178.5" x14ac:dyDescent="0.2">
      <c r="A44" s="14">
        <f t="shared" si="0"/>
        <v>40</v>
      </c>
      <c r="B44" s="14" t="s">
        <v>710</v>
      </c>
      <c r="C44" s="14" t="s">
        <v>905</v>
      </c>
      <c r="D44" s="14" t="s">
        <v>248</v>
      </c>
      <c r="E44" s="14"/>
      <c r="F44" s="14" t="s">
        <v>861</v>
      </c>
      <c r="G44" s="14" t="s">
        <v>14</v>
      </c>
      <c r="H44" s="14" t="s">
        <v>14</v>
      </c>
      <c r="I44" s="14" t="s">
        <v>14</v>
      </c>
      <c r="J44" s="14" t="s">
        <v>14</v>
      </c>
      <c r="K44" s="14" t="s">
        <v>14</v>
      </c>
      <c r="L44" s="14" t="s">
        <v>14</v>
      </c>
      <c r="M44" s="14"/>
    </row>
    <row r="45" spans="1:13" ht="204" x14ac:dyDescent="0.2">
      <c r="A45" s="14">
        <f t="shared" si="0"/>
        <v>41</v>
      </c>
      <c r="B45" s="14" t="s">
        <v>711</v>
      </c>
      <c r="C45" s="14" t="s">
        <v>906</v>
      </c>
      <c r="D45" s="14" t="s">
        <v>248</v>
      </c>
      <c r="E45" s="14"/>
      <c r="F45" s="14" t="s">
        <v>861</v>
      </c>
      <c r="G45" s="14" t="s">
        <v>14</v>
      </c>
      <c r="H45" s="14" t="s">
        <v>14</v>
      </c>
      <c r="I45" s="14" t="s">
        <v>14</v>
      </c>
      <c r="J45" s="14" t="s">
        <v>14</v>
      </c>
      <c r="K45" s="14" t="s">
        <v>14</v>
      </c>
      <c r="L45" s="14" t="s">
        <v>14</v>
      </c>
      <c r="M45" s="14"/>
    </row>
    <row r="46" spans="1:13" ht="127.5" x14ac:dyDescent="0.2">
      <c r="A46" s="14">
        <f t="shared" si="0"/>
        <v>42</v>
      </c>
      <c r="B46" s="14" t="s">
        <v>712</v>
      </c>
      <c r="C46" s="14" t="s">
        <v>907</v>
      </c>
      <c r="D46" s="14" t="s">
        <v>248</v>
      </c>
      <c r="E46" s="14"/>
      <c r="F46" s="14" t="s">
        <v>861</v>
      </c>
      <c r="G46" s="14" t="s">
        <v>14</v>
      </c>
      <c r="H46" s="14" t="s">
        <v>14</v>
      </c>
      <c r="I46" s="14" t="s">
        <v>14</v>
      </c>
      <c r="J46" s="14" t="s">
        <v>14</v>
      </c>
      <c r="K46" s="14" t="s">
        <v>14</v>
      </c>
      <c r="L46" s="14" t="s">
        <v>14</v>
      </c>
      <c r="M46" s="14"/>
    </row>
    <row r="47" spans="1:13" ht="165.75" x14ac:dyDescent="0.2">
      <c r="A47" s="14">
        <f t="shared" si="0"/>
        <v>43</v>
      </c>
      <c r="B47" s="4" t="s">
        <v>713</v>
      </c>
      <c r="C47" s="14" t="s">
        <v>1690</v>
      </c>
      <c r="D47" s="14" t="s">
        <v>249</v>
      </c>
      <c r="E47" s="14"/>
      <c r="F47" s="14" t="s">
        <v>1612</v>
      </c>
      <c r="G47" s="14" t="s">
        <v>14</v>
      </c>
      <c r="H47" s="14" t="s">
        <v>14</v>
      </c>
      <c r="I47" s="14" t="s">
        <v>14</v>
      </c>
      <c r="J47" s="14" t="s">
        <v>14</v>
      </c>
      <c r="K47" s="14" t="s">
        <v>14</v>
      </c>
      <c r="L47" s="14" t="s">
        <v>14</v>
      </c>
      <c r="M47" s="14"/>
    </row>
    <row r="48" spans="1:13" ht="153" x14ac:dyDescent="0.2">
      <c r="A48" s="14">
        <f t="shared" si="0"/>
        <v>44</v>
      </c>
      <c r="B48" s="14" t="s">
        <v>714</v>
      </c>
      <c r="C48" s="14" t="s">
        <v>908</v>
      </c>
      <c r="D48" s="14" t="s">
        <v>248</v>
      </c>
      <c r="E48" s="14"/>
      <c r="F48" s="14" t="s">
        <v>861</v>
      </c>
      <c r="G48" s="14" t="s">
        <v>14</v>
      </c>
      <c r="H48" s="14" t="s">
        <v>14</v>
      </c>
      <c r="I48" s="14" t="s">
        <v>14</v>
      </c>
      <c r="J48" s="14" t="s">
        <v>14</v>
      </c>
      <c r="K48" s="14" t="s">
        <v>14</v>
      </c>
      <c r="L48" s="14" t="s">
        <v>14</v>
      </c>
      <c r="M48" s="14"/>
    </row>
    <row r="49" spans="1:13" ht="63.75" x14ac:dyDescent="0.2">
      <c r="A49" s="14">
        <f t="shared" si="0"/>
        <v>45</v>
      </c>
      <c r="B49" s="14" t="s">
        <v>715</v>
      </c>
      <c r="C49" s="14" t="s">
        <v>909</v>
      </c>
      <c r="D49" s="14" t="s">
        <v>248</v>
      </c>
      <c r="E49" s="14" t="s">
        <v>584</v>
      </c>
      <c r="F49" s="14" t="s">
        <v>1612</v>
      </c>
      <c r="G49" s="14" t="s">
        <v>14</v>
      </c>
      <c r="H49" s="14" t="s">
        <v>14</v>
      </c>
      <c r="I49" s="14" t="s">
        <v>14</v>
      </c>
      <c r="J49" s="14" t="s">
        <v>15</v>
      </c>
      <c r="K49" s="14" t="s">
        <v>15</v>
      </c>
      <c r="L49" s="14" t="s">
        <v>15</v>
      </c>
      <c r="M49" s="14"/>
    </row>
    <row r="50" spans="1:13" ht="409.5" x14ac:dyDescent="0.2">
      <c r="A50" s="14">
        <f t="shared" si="0"/>
        <v>46</v>
      </c>
      <c r="B50" s="14" t="s">
        <v>910</v>
      </c>
      <c r="C50" s="14" t="s">
        <v>911</v>
      </c>
      <c r="D50" s="14" t="s">
        <v>248</v>
      </c>
      <c r="E50" s="14"/>
      <c r="F50" s="14" t="s">
        <v>861</v>
      </c>
      <c r="G50" s="14" t="s">
        <v>14</v>
      </c>
      <c r="H50" s="14" t="s">
        <v>14</v>
      </c>
      <c r="I50" s="14" t="s">
        <v>14</v>
      </c>
      <c r="J50" s="14" t="s">
        <v>14</v>
      </c>
      <c r="K50" s="14" t="s">
        <v>14</v>
      </c>
      <c r="L50" s="4" t="s">
        <v>15</v>
      </c>
      <c r="M50" s="14"/>
    </row>
    <row r="51" spans="1:13" ht="409.5" x14ac:dyDescent="0.2">
      <c r="A51" s="14">
        <f t="shared" si="0"/>
        <v>47</v>
      </c>
      <c r="B51" s="49" t="s">
        <v>912</v>
      </c>
      <c r="C51" s="14" t="s">
        <v>1618</v>
      </c>
      <c r="D51" s="14" t="s">
        <v>248</v>
      </c>
      <c r="E51" s="14"/>
      <c r="F51" s="14" t="s">
        <v>913</v>
      </c>
      <c r="G51" s="14" t="s">
        <v>14</v>
      </c>
      <c r="H51" s="14" t="s">
        <v>15</v>
      </c>
      <c r="I51" s="14" t="s">
        <v>14</v>
      </c>
      <c r="J51" s="14" t="s">
        <v>15</v>
      </c>
      <c r="K51" s="14" t="s">
        <v>14</v>
      </c>
      <c r="L51" s="14" t="s">
        <v>15</v>
      </c>
      <c r="M51" s="14"/>
    </row>
    <row r="52" spans="1:13" ht="76.5" x14ac:dyDescent="0.2">
      <c r="A52" s="14">
        <f t="shared" si="0"/>
        <v>48</v>
      </c>
      <c r="B52" s="14" t="s">
        <v>598</v>
      </c>
      <c r="C52" s="14" t="s">
        <v>914</v>
      </c>
      <c r="D52" s="14" t="s">
        <v>248</v>
      </c>
      <c r="E52" s="14"/>
      <c r="F52" s="14" t="s">
        <v>913</v>
      </c>
      <c r="G52" s="14" t="s">
        <v>14</v>
      </c>
      <c r="H52" s="14" t="s">
        <v>15</v>
      </c>
      <c r="I52" s="14" t="s">
        <v>14</v>
      </c>
      <c r="J52" s="14" t="s">
        <v>15</v>
      </c>
      <c r="K52" s="14" t="s">
        <v>14</v>
      </c>
      <c r="L52" s="14" t="s">
        <v>15</v>
      </c>
      <c r="M52" s="14"/>
    </row>
    <row r="53" spans="1:13" ht="409.5" x14ac:dyDescent="0.2">
      <c r="A53" s="14">
        <f t="shared" si="0"/>
        <v>49</v>
      </c>
      <c r="B53" s="14" t="s">
        <v>718</v>
      </c>
      <c r="C53" s="14" t="s">
        <v>915</v>
      </c>
      <c r="D53" s="14" t="s">
        <v>248</v>
      </c>
      <c r="E53" s="14"/>
      <c r="F53" s="14" t="s">
        <v>916</v>
      </c>
      <c r="G53" s="14" t="s">
        <v>14</v>
      </c>
      <c r="H53" s="14" t="s">
        <v>14</v>
      </c>
      <c r="I53" s="14" t="s">
        <v>14</v>
      </c>
      <c r="J53" s="14" t="s">
        <v>15</v>
      </c>
      <c r="K53" s="14" t="s">
        <v>15</v>
      </c>
      <c r="L53" s="14" t="s">
        <v>15</v>
      </c>
      <c r="M53" s="14"/>
    </row>
    <row r="54" spans="1:13" ht="63.75" x14ac:dyDescent="0.2">
      <c r="A54" s="14">
        <f t="shared" si="0"/>
        <v>50</v>
      </c>
      <c r="B54" s="14" t="s">
        <v>609</v>
      </c>
      <c r="C54" s="14" t="s">
        <v>917</v>
      </c>
      <c r="D54" s="14" t="s">
        <v>248</v>
      </c>
      <c r="E54" s="14"/>
      <c r="F54" s="14" t="s">
        <v>918</v>
      </c>
      <c r="G54" s="14" t="s">
        <v>15</v>
      </c>
      <c r="H54" s="14" t="s">
        <v>15</v>
      </c>
      <c r="I54" s="14" t="s">
        <v>14</v>
      </c>
      <c r="J54" s="14" t="s">
        <v>15</v>
      </c>
      <c r="K54" s="14" t="s">
        <v>15</v>
      </c>
      <c r="L54" s="14" t="s">
        <v>15</v>
      </c>
      <c r="M54" s="14"/>
    </row>
    <row r="55" spans="1:13" ht="191.25" x14ac:dyDescent="0.2">
      <c r="A55" s="14">
        <f t="shared" si="0"/>
        <v>51</v>
      </c>
      <c r="B55" s="14" t="s">
        <v>719</v>
      </c>
      <c r="C55" s="14" t="s">
        <v>919</v>
      </c>
      <c r="D55" s="14" t="s">
        <v>250</v>
      </c>
      <c r="E55" s="14"/>
      <c r="F55" s="81" t="s">
        <v>1238</v>
      </c>
      <c r="G55" s="14" t="s">
        <v>14</v>
      </c>
      <c r="H55" s="14" t="s">
        <v>14</v>
      </c>
      <c r="I55" s="14" t="s">
        <v>14</v>
      </c>
      <c r="J55" s="14" t="s">
        <v>15</v>
      </c>
      <c r="K55" s="14" t="s">
        <v>15</v>
      </c>
      <c r="L55" s="14" t="s">
        <v>14</v>
      </c>
      <c r="M55" s="14"/>
    </row>
    <row r="56" spans="1:13" ht="76.5" x14ac:dyDescent="0.2">
      <c r="A56" s="14">
        <f t="shared" si="0"/>
        <v>52</v>
      </c>
      <c r="B56" s="14" t="s">
        <v>610</v>
      </c>
      <c r="C56" s="14" t="s">
        <v>920</v>
      </c>
      <c r="D56" s="14" t="s">
        <v>248</v>
      </c>
      <c r="E56" s="14" t="s">
        <v>584</v>
      </c>
      <c r="F56" s="14" t="s">
        <v>1252</v>
      </c>
      <c r="G56" s="14" t="s">
        <v>14</v>
      </c>
      <c r="H56" s="14" t="s">
        <v>14</v>
      </c>
      <c r="I56" s="14" t="s">
        <v>14</v>
      </c>
      <c r="J56" s="14" t="s">
        <v>14</v>
      </c>
      <c r="K56" s="14" t="s">
        <v>15</v>
      </c>
      <c r="L56" s="61" t="s">
        <v>14</v>
      </c>
      <c r="M56" s="14"/>
    </row>
    <row r="57" spans="1:13" ht="89.25" x14ac:dyDescent="0.2">
      <c r="A57" s="14">
        <f t="shared" si="0"/>
        <v>53</v>
      </c>
      <c r="B57" s="14" t="s">
        <v>720</v>
      </c>
      <c r="C57" s="14" t="s">
        <v>921</v>
      </c>
      <c r="D57" s="14" t="s">
        <v>248</v>
      </c>
      <c r="E57" s="14"/>
      <c r="F57" s="14" t="s">
        <v>1240</v>
      </c>
      <c r="G57" s="14" t="s">
        <v>14</v>
      </c>
      <c r="H57" s="14" t="s">
        <v>15</v>
      </c>
      <c r="I57" s="14" t="s">
        <v>14</v>
      </c>
      <c r="J57" s="14" t="s">
        <v>15</v>
      </c>
      <c r="K57" s="14" t="s">
        <v>15</v>
      </c>
      <c r="L57" s="14" t="s">
        <v>14</v>
      </c>
      <c r="M57" s="14"/>
    </row>
    <row r="58" spans="1:13" ht="76.5" x14ac:dyDescent="0.2">
      <c r="A58" s="14">
        <f t="shared" si="0"/>
        <v>54</v>
      </c>
      <c r="B58" s="14" t="s">
        <v>922</v>
      </c>
      <c r="C58" s="14" t="s">
        <v>923</v>
      </c>
      <c r="D58" s="14" t="s">
        <v>248</v>
      </c>
      <c r="E58" s="14" t="s">
        <v>584</v>
      </c>
      <c r="F58" s="14" t="s">
        <v>1240</v>
      </c>
      <c r="G58" s="14" t="s">
        <v>14</v>
      </c>
      <c r="H58" s="14" t="s">
        <v>14</v>
      </c>
      <c r="I58" s="14" t="s">
        <v>14</v>
      </c>
      <c r="J58" s="14" t="s">
        <v>14</v>
      </c>
      <c r="K58" s="14" t="s">
        <v>15</v>
      </c>
      <c r="L58" s="14" t="s">
        <v>15</v>
      </c>
      <c r="M58" s="14"/>
    </row>
    <row r="59" spans="1:13" ht="76.5" x14ac:dyDescent="0.2">
      <c r="A59" s="14">
        <f t="shared" si="0"/>
        <v>55</v>
      </c>
      <c r="B59" s="14" t="s">
        <v>722</v>
      </c>
      <c r="C59" s="14" t="s">
        <v>924</v>
      </c>
      <c r="D59" s="14" t="s">
        <v>249</v>
      </c>
      <c r="E59" s="14" t="s">
        <v>584</v>
      </c>
      <c r="F59" s="14" t="s">
        <v>1240</v>
      </c>
      <c r="G59" s="14" t="s">
        <v>14</v>
      </c>
      <c r="H59" s="14" t="s">
        <v>14</v>
      </c>
      <c r="I59" s="14" t="s">
        <v>14</v>
      </c>
      <c r="J59" s="14" t="s">
        <v>14</v>
      </c>
      <c r="K59" s="14" t="s">
        <v>14</v>
      </c>
      <c r="L59" s="14" t="s">
        <v>14</v>
      </c>
      <c r="M59" s="14"/>
    </row>
    <row r="60" spans="1:13" ht="280.5" x14ac:dyDescent="0.2">
      <c r="A60" s="14">
        <f t="shared" si="0"/>
        <v>56</v>
      </c>
      <c r="B60" s="14" t="s">
        <v>723</v>
      </c>
      <c r="C60" s="14" t="s">
        <v>925</v>
      </c>
      <c r="D60" s="14" t="s">
        <v>248</v>
      </c>
      <c r="E60" s="14"/>
      <c r="F60" s="14" t="s">
        <v>1240</v>
      </c>
      <c r="G60" s="14" t="s">
        <v>14</v>
      </c>
      <c r="H60" s="14" t="s">
        <v>15</v>
      </c>
      <c r="I60" s="14" t="s">
        <v>14</v>
      </c>
      <c r="J60" s="14" t="s">
        <v>15</v>
      </c>
      <c r="K60" s="14" t="s">
        <v>14</v>
      </c>
      <c r="L60" s="14" t="s">
        <v>14</v>
      </c>
      <c r="M60" s="14"/>
    </row>
    <row r="61" spans="1:13" ht="280.5" x14ac:dyDescent="0.2">
      <c r="A61" s="14">
        <f t="shared" si="0"/>
        <v>57</v>
      </c>
      <c r="B61" s="14" t="s">
        <v>724</v>
      </c>
      <c r="C61" s="14" t="s">
        <v>926</v>
      </c>
      <c r="D61" s="14" t="s">
        <v>249</v>
      </c>
      <c r="E61" s="14"/>
      <c r="F61" s="14" t="s">
        <v>1240</v>
      </c>
      <c r="G61" s="14" t="s">
        <v>14</v>
      </c>
      <c r="H61" s="14" t="s">
        <v>15</v>
      </c>
      <c r="I61" s="14" t="s">
        <v>14</v>
      </c>
      <c r="J61" s="14" t="s">
        <v>15</v>
      </c>
      <c r="K61" s="14" t="s">
        <v>14</v>
      </c>
      <c r="L61" s="14" t="s">
        <v>14</v>
      </c>
      <c r="M61" s="14"/>
    </row>
    <row r="62" spans="1:13" ht="63.75" x14ac:dyDescent="0.2">
      <c r="A62" s="14">
        <f t="shared" si="0"/>
        <v>58</v>
      </c>
      <c r="B62" s="14" t="s">
        <v>725</v>
      </c>
      <c r="C62" s="14" t="s">
        <v>927</v>
      </c>
      <c r="D62" s="14" t="s">
        <v>249</v>
      </c>
      <c r="E62" s="14"/>
      <c r="F62" s="14" t="s">
        <v>1613</v>
      </c>
      <c r="G62" s="14" t="s">
        <v>14</v>
      </c>
      <c r="H62" s="14" t="s">
        <v>15</v>
      </c>
      <c r="I62" s="14" t="s">
        <v>14</v>
      </c>
      <c r="J62" s="14" t="s">
        <v>15</v>
      </c>
      <c r="K62" s="14" t="s">
        <v>15</v>
      </c>
      <c r="L62" s="14" t="s">
        <v>14</v>
      </c>
      <c r="M62" s="14"/>
    </row>
    <row r="63" spans="1:13" ht="102" x14ac:dyDescent="0.2">
      <c r="A63" s="14">
        <f t="shared" si="0"/>
        <v>59</v>
      </c>
      <c r="B63" s="14" t="s">
        <v>726</v>
      </c>
      <c r="C63" s="14" t="s">
        <v>928</v>
      </c>
      <c r="D63" s="14" t="s">
        <v>248</v>
      </c>
      <c r="E63" s="14" t="s">
        <v>584</v>
      </c>
      <c r="F63" s="14" t="s">
        <v>1240</v>
      </c>
      <c r="G63" s="14" t="s">
        <v>14</v>
      </c>
      <c r="H63" s="14" t="s">
        <v>15</v>
      </c>
      <c r="I63" s="14" t="s">
        <v>14</v>
      </c>
      <c r="J63" s="14" t="s">
        <v>15</v>
      </c>
      <c r="K63" s="14" t="s">
        <v>15</v>
      </c>
      <c r="L63" s="14" t="s">
        <v>15</v>
      </c>
      <c r="M63" s="14"/>
    </row>
    <row r="64" spans="1:13" ht="191.25" x14ac:dyDescent="0.2">
      <c r="A64" s="14">
        <f t="shared" si="0"/>
        <v>60</v>
      </c>
      <c r="B64" s="14" t="s">
        <v>727</v>
      </c>
      <c r="C64" s="14" t="s">
        <v>929</v>
      </c>
      <c r="D64" s="14" t="s">
        <v>248</v>
      </c>
      <c r="E64" s="14" t="s">
        <v>584</v>
      </c>
      <c r="F64" s="14" t="s">
        <v>1240</v>
      </c>
      <c r="G64" s="14" t="s">
        <v>14</v>
      </c>
      <c r="H64" s="14" t="s">
        <v>15</v>
      </c>
      <c r="I64" s="14" t="s">
        <v>14</v>
      </c>
      <c r="J64" s="14" t="s">
        <v>15</v>
      </c>
      <c r="K64" s="14" t="s">
        <v>15</v>
      </c>
      <c r="L64" s="14" t="s">
        <v>15</v>
      </c>
      <c r="M64" s="14"/>
    </row>
    <row r="65" spans="1:13" ht="89.25" x14ac:dyDescent="0.2">
      <c r="A65" s="14">
        <f t="shared" si="0"/>
        <v>61</v>
      </c>
      <c r="B65" s="14" t="s">
        <v>728</v>
      </c>
      <c r="C65" s="14" t="s">
        <v>930</v>
      </c>
      <c r="D65" s="14" t="s">
        <v>248</v>
      </c>
      <c r="E65" s="14" t="s">
        <v>584</v>
      </c>
      <c r="F65" s="14" t="s">
        <v>1240</v>
      </c>
      <c r="G65" s="14" t="s">
        <v>14</v>
      </c>
      <c r="H65" s="14" t="s">
        <v>14</v>
      </c>
      <c r="I65" s="14" t="s">
        <v>14</v>
      </c>
      <c r="J65" s="14" t="s">
        <v>15</v>
      </c>
      <c r="K65" s="14" t="s">
        <v>15</v>
      </c>
      <c r="L65" s="14" t="s">
        <v>15</v>
      </c>
      <c r="M65" s="14"/>
    </row>
    <row r="66" spans="1:13" ht="63.75" x14ac:dyDescent="0.2">
      <c r="A66" s="14">
        <f t="shared" si="0"/>
        <v>62</v>
      </c>
      <c r="B66" s="14" t="s">
        <v>729</v>
      </c>
      <c r="C66" s="14" t="s">
        <v>931</v>
      </c>
      <c r="D66" s="14" t="s">
        <v>248</v>
      </c>
      <c r="E66" s="14" t="s">
        <v>584</v>
      </c>
      <c r="F66" s="14" t="s">
        <v>1614</v>
      </c>
      <c r="G66" s="14" t="s">
        <v>14</v>
      </c>
      <c r="H66" s="14" t="s">
        <v>15</v>
      </c>
      <c r="I66" s="14" t="s">
        <v>14</v>
      </c>
      <c r="J66" s="14" t="s">
        <v>14</v>
      </c>
      <c r="K66" s="14" t="s">
        <v>15</v>
      </c>
      <c r="L66" s="14" t="s">
        <v>15</v>
      </c>
      <c r="M66" s="82"/>
    </row>
    <row r="67" spans="1:13" ht="51" x14ac:dyDescent="0.2">
      <c r="A67" s="14">
        <f t="shared" si="0"/>
        <v>63</v>
      </c>
      <c r="B67" s="14" t="s">
        <v>730</v>
      </c>
      <c r="C67" s="14" t="s">
        <v>932</v>
      </c>
      <c r="D67" s="14" t="s">
        <v>248</v>
      </c>
      <c r="E67" s="14" t="s">
        <v>584</v>
      </c>
      <c r="F67" s="14" t="s">
        <v>1252</v>
      </c>
      <c r="G67" s="14" t="s">
        <v>14</v>
      </c>
      <c r="H67" s="14" t="s">
        <v>15</v>
      </c>
      <c r="I67" s="14" t="s">
        <v>14</v>
      </c>
      <c r="J67" s="14" t="s">
        <v>15</v>
      </c>
      <c r="K67" s="14" t="s">
        <v>15</v>
      </c>
      <c r="L67" s="14" t="s">
        <v>15</v>
      </c>
      <c r="M67" s="14"/>
    </row>
    <row r="68" spans="1:13" ht="140.25" x14ac:dyDescent="0.2">
      <c r="A68" s="14">
        <f t="shared" si="0"/>
        <v>64</v>
      </c>
      <c r="B68" s="14" t="s">
        <v>731</v>
      </c>
      <c r="C68" s="14" t="s">
        <v>933</v>
      </c>
      <c r="D68" s="14" t="s">
        <v>248</v>
      </c>
      <c r="E68" s="14"/>
      <c r="F68" s="14" t="s">
        <v>1615</v>
      </c>
      <c r="G68" s="14" t="s">
        <v>14</v>
      </c>
      <c r="H68" s="14" t="s">
        <v>15</v>
      </c>
      <c r="I68" s="14" t="s">
        <v>14</v>
      </c>
      <c r="J68" s="14" t="s">
        <v>15</v>
      </c>
      <c r="K68" s="14" t="s">
        <v>14</v>
      </c>
      <c r="L68" s="14" t="s">
        <v>14</v>
      </c>
      <c r="M68" s="14"/>
    </row>
    <row r="69" spans="1:13" ht="89.25" x14ac:dyDescent="0.2">
      <c r="A69" s="14">
        <f t="shared" si="0"/>
        <v>65</v>
      </c>
      <c r="B69" s="14" t="s">
        <v>732</v>
      </c>
      <c r="C69" s="14" t="s">
        <v>934</v>
      </c>
      <c r="D69" s="14" t="s">
        <v>248</v>
      </c>
      <c r="E69" s="14"/>
      <c r="F69" s="14" t="s">
        <v>861</v>
      </c>
      <c r="G69" s="14" t="s">
        <v>14</v>
      </c>
      <c r="H69" s="14" t="s">
        <v>14</v>
      </c>
      <c r="I69" s="14" t="s">
        <v>14</v>
      </c>
      <c r="J69" s="14" t="s">
        <v>15</v>
      </c>
      <c r="K69" s="14" t="s">
        <v>14</v>
      </c>
      <c r="L69" s="14" t="s">
        <v>14</v>
      </c>
      <c r="M69" s="14"/>
    </row>
    <row r="70" spans="1:13" ht="63.75" x14ac:dyDescent="0.2">
      <c r="A70" s="14">
        <f t="shared" si="0"/>
        <v>66</v>
      </c>
      <c r="B70" s="14" t="s">
        <v>733</v>
      </c>
      <c r="C70" s="14" t="s">
        <v>935</v>
      </c>
      <c r="D70" s="14" t="s">
        <v>249</v>
      </c>
      <c r="E70" s="14"/>
      <c r="F70" s="14" t="s">
        <v>861</v>
      </c>
      <c r="G70" s="14" t="s">
        <v>14</v>
      </c>
      <c r="H70" s="14" t="s">
        <v>14</v>
      </c>
      <c r="I70" s="14" t="s">
        <v>14</v>
      </c>
      <c r="J70" s="14" t="s">
        <v>15</v>
      </c>
      <c r="K70" s="14" t="s">
        <v>14</v>
      </c>
      <c r="L70" s="14" t="s">
        <v>15</v>
      </c>
      <c r="M70" s="14"/>
    </row>
    <row r="71" spans="1:13" ht="51" x14ac:dyDescent="0.2">
      <c r="A71" s="14">
        <f t="shared" ref="A71:A88" si="1">A70+1</f>
        <v>67</v>
      </c>
      <c r="B71" s="14" t="s">
        <v>734</v>
      </c>
      <c r="C71" s="14" t="s">
        <v>936</v>
      </c>
      <c r="D71" s="14" t="s">
        <v>248</v>
      </c>
      <c r="E71" s="14"/>
      <c r="F71" s="81" t="s">
        <v>1239</v>
      </c>
      <c r="G71" s="14" t="s">
        <v>14</v>
      </c>
      <c r="H71" s="14" t="s">
        <v>14</v>
      </c>
      <c r="I71" s="14" t="s">
        <v>14</v>
      </c>
      <c r="J71" s="14" t="s">
        <v>15</v>
      </c>
      <c r="K71" s="14" t="s">
        <v>15</v>
      </c>
      <c r="L71" s="14" t="s">
        <v>14</v>
      </c>
      <c r="M71" s="14"/>
    </row>
    <row r="72" spans="1:13" ht="63.75" x14ac:dyDescent="0.2">
      <c r="A72" s="14">
        <f t="shared" si="1"/>
        <v>68</v>
      </c>
      <c r="B72" s="14" t="s">
        <v>735</v>
      </c>
      <c r="C72" s="14" t="s">
        <v>937</v>
      </c>
      <c r="D72" s="14" t="s">
        <v>248</v>
      </c>
      <c r="E72" s="14"/>
      <c r="F72" s="14" t="s">
        <v>861</v>
      </c>
      <c r="G72" s="14" t="s">
        <v>15</v>
      </c>
      <c r="H72" s="14" t="s">
        <v>14</v>
      </c>
      <c r="I72" s="14" t="s">
        <v>14</v>
      </c>
      <c r="J72" s="14" t="s">
        <v>15</v>
      </c>
      <c r="K72" s="14" t="s">
        <v>15</v>
      </c>
      <c r="L72" s="14" t="s">
        <v>14</v>
      </c>
      <c r="M72" s="14"/>
    </row>
    <row r="73" spans="1:13" ht="63.75" x14ac:dyDescent="0.2">
      <c r="A73" s="14">
        <f t="shared" si="1"/>
        <v>69</v>
      </c>
      <c r="B73" s="14" t="s">
        <v>736</v>
      </c>
      <c r="C73" s="31" t="s">
        <v>938</v>
      </c>
      <c r="D73" s="14" t="s">
        <v>248</v>
      </c>
      <c r="E73" s="14"/>
      <c r="F73" s="14" t="s">
        <v>861</v>
      </c>
      <c r="G73" s="14" t="s">
        <v>14</v>
      </c>
      <c r="H73" s="14" t="s">
        <v>15</v>
      </c>
      <c r="I73" s="14" t="s">
        <v>14</v>
      </c>
      <c r="J73" s="14" t="s">
        <v>15</v>
      </c>
      <c r="K73" s="14" t="s">
        <v>15</v>
      </c>
      <c r="L73" s="14" t="s">
        <v>15</v>
      </c>
      <c r="M73" s="14"/>
    </row>
    <row r="74" spans="1:13" ht="51" x14ac:dyDescent="0.2">
      <c r="A74" s="14">
        <f t="shared" si="1"/>
        <v>70</v>
      </c>
      <c r="B74" s="14" t="s">
        <v>737</v>
      </c>
      <c r="C74" s="14" t="s">
        <v>939</v>
      </c>
      <c r="D74" s="14" t="s">
        <v>249</v>
      </c>
      <c r="E74" s="14"/>
      <c r="F74" s="14" t="s">
        <v>861</v>
      </c>
      <c r="G74" s="82" t="s">
        <v>14</v>
      </c>
      <c r="H74" s="82" t="s">
        <v>15</v>
      </c>
      <c r="I74" s="82" t="s">
        <v>14</v>
      </c>
      <c r="J74" s="82" t="s">
        <v>15</v>
      </c>
      <c r="K74" s="82" t="s">
        <v>14</v>
      </c>
      <c r="L74" s="82" t="s">
        <v>15</v>
      </c>
      <c r="M74" s="14"/>
    </row>
    <row r="75" spans="1:13" ht="127.5" x14ac:dyDescent="0.2">
      <c r="A75" s="14">
        <f t="shared" si="1"/>
        <v>71</v>
      </c>
      <c r="B75" s="82" t="s">
        <v>738</v>
      </c>
      <c r="C75" s="14" t="s">
        <v>940</v>
      </c>
      <c r="D75" s="82" t="s">
        <v>250</v>
      </c>
      <c r="E75" s="82"/>
      <c r="F75" s="14" t="s">
        <v>861</v>
      </c>
      <c r="G75" s="83" t="s">
        <v>635</v>
      </c>
      <c r="H75" s="83" t="s">
        <v>635</v>
      </c>
      <c r="I75" s="83" t="s">
        <v>635</v>
      </c>
      <c r="J75" s="83" t="s">
        <v>635</v>
      </c>
      <c r="K75" s="83" t="s">
        <v>635</v>
      </c>
      <c r="L75" s="83" t="s">
        <v>15</v>
      </c>
      <c r="M75" s="14"/>
    </row>
    <row r="76" spans="1:13" ht="216.75" x14ac:dyDescent="0.2">
      <c r="A76" s="14">
        <f t="shared" si="1"/>
        <v>72</v>
      </c>
      <c r="B76" s="4" t="s">
        <v>739</v>
      </c>
      <c r="C76" s="84" t="s">
        <v>941</v>
      </c>
      <c r="D76" s="85" t="s">
        <v>250</v>
      </c>
      <c r="E76" s="83"/>
      <c r="F76" s="85" t="s">
        <v>672</v>
      </c>
      <c r="G76" s="83" t="s">
        <v>635</v>
      </c>
      <c r="H76" s="83" t="s">
        <v>635</v>
      </c>
      <c r="I76" s="83" t="s">
        <v>635</v>
      </c>
      <c r="J76" s="83" t="s">
        <v>635</v>
      </c>
      <c r="K76" s="83" t="s">
        <v>635</v>
      </c>
      <c r="L76" s="85" t="s">
        <v>942</v>
      </c>
      <c r="M76" s="14"/>
    </row>
    <row r="77" spans="1:13" ht="204" x14ac:dyDescent="0.2">
      <c r="A77" s="14">
        <f t="shared" si="1"/>
        <v>73</v>
      </c>
      <c r="B77" s="4" t="s">
        <v>740</v>
      </c>
      <c r="C77" s="84" t="s">
        <v>943</v>
      </c>
      <c r="D77" s="14" t="s">
        <v>250</v>
      </c>
      <c r="E77" s="85"/>
      <c r="F77" s="85" t="s">
        <v>672</v>
      </c>
      <c r="G77" s="85" t="s">
        <v>15</v>
      </c>
      <c r="H77" s="83" t="s">
        <v>635</v>
      </c>
      <c r="I77" s="83" t="s">
        <v>635</v>
      </c>
      <c r="J77" s="85" t="s">
        <v>15</v>
      </c>
      <c r="K77" s="83" t="s">
        <v>635</v>
      </c>
      <c r="L77" s="85" t="s">
        <v>15</v>
      </c>
      <c r="M77" s="14"/>
    </row>
    <row r="78" spans="1:13" ht="89.25" x14ac:dyDescent="0.2">
      <c r="A78" s="14">
        <f t="shared" si="1"/>
        <v>74</v>
      </c>
      <c r="B78" s="4" t="s">
        <v>741</v>
      </c>
      <c r="C78" s="84" t="s">
        <v>944</v>
      </c>
      <c r="D78" s="14" t="s">
        <v>248</v>
      </c>
      <c r="E78" s="85"/>
      <c r="F78" s="85" t="s">
        <v>1616</v>
      </c>
      <c r="G78" s="85" t="s">
        <v>15</v>
      </c>
      <c r="H78" s="85" t="s">
        <v>15</v>
      </c>
      <c r="I78" s="85" t="s">
        <v>15</v>
      </c>
      <c r="J78" s="85" t="s">
        <v>15</v>
      </c>
      <c r="K78" s="83" t="s">
        <v>635</v>
      </c>
      <c r="L78" s="85" t="s">
        <v>15</v>
      </c>
      <c r="M78" s="14"/>
    </row>
    <row r="79" spans="1:13" ht="38.25" x14ac:dyDescent="0.2">
      <c r="A79" s="14">
        <f t="shared" si="1"/>
        <v>75</v>
      </c>
      <c r="B79" s="4" t="s">
        <v>742</v>
      </c>
      <c r="C79" s="84" t="s">
        <v>945</v>
      </c>
      <c r="D79" s="14" t="s">
        <v>248</v>
      </c>
      <c r="E79" s="85"/>
      <c r="F79" s="85" t="s">
        <v>672</v>
      </c>
      <c r="G79" s="85" t="s">
        <v>15</v>
      </c>
      <c r="H79" s="85" t="s">
        <v>15</v>
      </c>
      <c r="I79" s="85" t="s">
        <v>15</v>
      </c>
      <c r="J79" s="85" t="s">
        <v>15</v>
      </c>
      <c r="K79" s="83" t="s">
        <v>635</v>
      </c>
      <c r="L79" s="85" t="s">
        <v>15</v>
      </c>
      <c r="M79" s="14"/>
    </row>
    <row r="80" spans="1:13" ht="409.5" x14ac:dyDescent="0.2">
      <c r="A80" s="14">
        <f t="shared" si="1"/>
        <v>76</v>
      </c>
      <c r="B80" s="4" t="s">
        <v>743</v>
      </c>
      <c r="C80" s="84" t="s">
        <v>946</v>
      </c>
      <c r="D80" s="14" t="s">
        <v>248</v>
      </c>
      <c r="E80" s="85"/>
      <c r="F80" s="85" t="s">
        <v>672</v>
      </c>
      <c r="G80" s="85" t="s">
        <v>14</v>
      </c>
      <c r="H80" s="85" t="s">
        <v>15</v>
      </c>
      <c r="I80" s="85" t="s">
        <v>947</v>
      </c>
      <c r="J80" s="83" t="s">
        <v>635</v>
      </c>
      <c r="K80" s="83" t="s">
        <v>635</v>
      </c>
      <c r="L80" s="85" t="s">
        <v>15</v>
      </c>
      <c r="M80" s="87"/>
    </row>
    <row r="81" spans="1:13" ht="204" x14ac:dyDescent="0.2">
      <c r="A81" s="14">
        <f t="shared" si="1"/>
        <v>77</v>
      </c>
      <c r="B81" s="4" t="s">
        <v>744</v>
      </c>
      <c r="C81" s="84" t="s">
        <v>948</v>
      </c>
      <c r="D81" s="85" t="s">
        <v>250</v>
      </c>
      <c r="E81" s="85"/>
      <c r="F81" s="85" t="s">
        <v>672</v>
      </c>
      <c r="G81" s="85" t="s">
        <v>15</v>
      </c>
      <c r="H81" s="85" t="s">
        <v>15</v>
      </c>
      <c r="I81" s="85" t="s">
        <v>14</v>
      </c>
      <c r="J81" s="85" t="s">
        <v>15</v>
      </c>
      <c r="K81" s="83" t="s">
        <v>635</v>
      </c>
      <c r="L81" s="85" t="s">
        <v>15</v>
      </c>
      <c r="M81" s="87"/>
    </row>
    <row r="82" spans="1:13" ht="216.75" x14ac:dyDescent="0.2">
      <c r="A82" s="14">
        <f t="shared" si="1"/>
        <v>78</v>
      </c>
      <c r="B82" s="4" t="s">
        <v>745</v>
      </c>
      <c r="C82" s="84" t="s">
        <v>949</v>
      </c>
      <c r="D82" s="14" t="s">
        <v>250</v>
      </c>
      <c r="E82" s="85"/>
      <c r="F82" s="85" t="s">
        <v>672</v>
      </c>
      <c r="G82" s="85" t="s">
        <v>15</v>
      </c>
      <c r="H82" s="85" t="s">
        <v>15</v>
      </c>
      <c r="I82" s="85" t="s">
        <v>14</v>
      </c>
      <c r="J82" s="85" t="s">
        <v>15</v>
      </c>
      <c r="K82" s="83" t="s">
        <v>635</v>
      </c>
      <c r="L82" s="85" t="s">
        <v>14</v>
      </c>
      <c r="M82" s="87"/>
    </row>
    <row r="83" spans="1:13" ht="191.25" x14ac:dyDescent="0.2">
      <c r="A83" s="14">
        <f t="shared" si="1"/>
        <v>79</v>
      </c>
      <c r="B83" s="4" t="s">
        <v>746</v>
      </c>
      <c r="C83" s="84" t="s">
        <v>950</v>
      </c>
      <c r="D83" s="14" t="s">
        <v>248</v>
      </c>
      <c r="E83" s="85"/>
      <c r="F83" s="85" t="s">
        <v>672</v>
      </c>
      <c r="G83" s="83" t="s">
        <v>635</v>
      </c>
      <c r="H83" s="85" t="s">
        <v>15</v>
      </c>
      <c r="I83" s="85" t="s">
        <v>14</v>
      </c>
      <c r="J83" s="83" t="s">
        <v>635</v>
      </c>
      <c r="K83" s="83" t="s">
        <v>635</v>
      </c>
      <c r="L83" s="85" t="s">
        <v>15</v>
      </c>
      <c r="M83" s="87"/>
    </row>
    <row r="84" spans="1:13" ht="204" x14ac:dyDescent="0.2">
      <c r="A84" s="14">
        <f t="shared" si="1"/>
        <v>80</v>
      </c>
      <c r="B84" s="4" t="s">
        <v>747</v>
      </c>
      <c r="C84" s="84" t="s">
        <v>951</v>
      </c>
      <c r="D84" s="85" t="s">
        <v>250</v>
      </c>
      <c r="E84" s="85"/>
      <c r="F84" s="85" t="s">
        <v>672</v>
      </c>
      <c r="G84" s="85" t="s">
        <v>635</v>
      </c>
      <c r="H84" s="85" t="s">
        <v>15</v>
      </c>
      <c r="I84" s="85" t="s">
        <v>14</v>
      </c>
      <c r="J84" s="83" t="s">
        <v>635</v>
      </c>
      <c r="K84" s="83" t="s">
        <v>635</v>
      </c>
      <c r="L84" s="85" t="s">
        <v>15</v>
      </c>
      <c r="M84" s="87"/>
    </row>
    <row r="85" spans="1:13" ht="216.75" x14ac:dyDescent="0.2">
      <c r="A85" s="14">
        <f t="shared" si="1"/>
        <v>81</v>
      </c>
      <c r="B85" s="4" t="s">
        <v>748</v>
      </c>
      <c r="C85" s="84" t="s">
        <v>952</v>
      </c>
      <c r="D85" s="85" t="s">
        <v>250</v>
      </c>
      <c r="E85" s="85"/>
      <c r="F85" s="85" t="s">
        <v>672</v>
      </c>
      <c r="G85" s="85" t="s">
        <v>15</v>
      </c>
      <c r="H85" s="85" t="s">
        <v>15</v>
      </c>
      <c r="I85" s="85" t="s">
        <v>14</v>
      </c>
      <c r="J85" s="85" t="s">
        <v>15</v>
      </c>
      <c r="K85" s="83" t="s">
        <v>635</v>
      </c>
      <c r="L85" s="85" t="s">
        <v>15</v>
      </c>
      <c r="M85" s="87"/>
    </row>
    <row r="86" spans="1:13" ht="216.75" x14ac:dyDescent="0.2">
      <c r="A86" s="14">
        <f t="shared" si="1"/>
        <v>82</v>
      </c>
      <c r="B86" s="4" t="s">
        <v>749</v>
      </c>
      <c r="C86" s="84" t="s">
        <v>953</v>
      </c>
      <c r="D86" s="85" t="s">
        <v>250</v>
      </c>
      <c r="E86" s="85"/>
      <c r="F86" s="85" t="s">
        <v>672</v>
      </c>
      <c r="G86" s="85" t="s">
        <v>15</v>
      </c>
      <c r="H86" s="85" t="s">
        <v>15</v>
      </c>
      <c r="I86" s="85" t="s">
        <v>14</v>
      </c>
      <c r="J86" s="85" t="s">
        <v>15</v>
      </c>
      <c r="K86" s="83" t="s">
        <v>635</v>
      </c>
      <c r="L86" s="85" t="s">
        <v>15</v>
      </c>
      <c r="M86" s="87"/>
    </row>
    <row r="87" spans="1:13" ht="409.5" x14ac:dyDescent="0.2">
      <c r="A87" s="14">
        <f t="shared" si="1"/>
        <v>83</v>
      </c>
      <c r="B87" s="4" t="s">
        <v>750</v>
      </c>
      <c r="C87" s="84" t="s">
        <v>954</v>
      </c>
      <c r="D87" s="14" t="s">
        <v>248</v>
      </c>
      <c r="E87" s="85"/>
      <c r="F87" s="85" t="s">
        <v>672</v>
      </c>
      <c r="G87" s="85" t="s">
        <v>15</v>
      </c>
      <c r="H87" s="85" t="s">
        <v>15</v>
      </c>
      <c r="I87" s="85" t="s">
        <v>14</v>
      </c>
      <c r="J87" s="85" t="s">
        <v>15</v>
      </c>
      <c r="K87" s="83" t="s">
        <v>635</v>
      </c>
      <c r="L87" s="85" t="s">
        <v>15</v>
      </c>
      <c r="M87" s="87"/>
    </row>
    <row r="88" spans="1:13" ht="51" x14ac:dyDescent="0.2">
      <c r="A88" s="14">
        <f t="shared" si="1"/>
        <v>84</v>
      </c>
      <c r="B88" s="4" t="s">
        <v>751</v>
      </c>
      <c r="C88" s="4" t="s">
        <v>955</v>
      </c>
      <c r="D88" s="14" t="s">
        <v>248</v>
      </c>
      <c r="E88" s="85"/>
      <c r="F88" s="85" t="s">
        <v>672</v>
      </c>
      <c r="G88" s="87"/>
      <c r="H88" s="87"/>
      <c r="I88" s="87"/>
      <c r="J88" s="87"/>
      <c r="K88" s="87"/>
      <c r="L88" s="87"/>
      <c r="M88" s="87"/>
    </row>
  </sheetData>
  <mergeCells count="2">
    <mergeCell ref="C1:D1"/>
    <mergeCell ref="C2:D2"/>
  </mergeCells>
  <pageMargins left="0.7" right="0.7" top="0.75" bottom="0.75" header="0.3" footer="0.3"/>
  <pageSetup paperSize="5" scale="70" fitToHeight="0" orientation="landscape" r:id="rId1"/>
  <headerFooter>
    <oddHeader>&amp;C&amp;"Arial,Bold"&amp;14&amp;UDeliverables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'[3]Drop Down Options'!#REF!</xm:f>
          </x14:formula1>
          <xm:sqref>G62:L62</xm:sqref>
        </x14:dataValidation>
        <x14:dataValidation type="list" allowBlank="1" showInputMessage="1" showErrorMessage="1">
          <x14:formula1>
            <xm:f>'[4]Drop Down Options'!#REF!</xm:f>
          </x14:formula1>
          <xm:sqref>G8:H13</xm:sqref>
        </x14:dataValidation>
        <x14:dataValidation type="list" allowBlank="1" showInputMessage="1" showErrorMessage="1">
          <x14:formula1>
            <xm:f>'[5]Drop Down Options'!#REF!</xm:f>
          </x14:formula1>
          <xm:sqref>G61:L61 D49 D58:D59 D63:D68 D56 G56:K60 G49:L49 L57:L60 M55 G63:L68</xm:sqref>
        </x14:dataValidation>
        <x14:dataValidation type="list" allowBlank="1" showInputMessage="1" showErrorMessage="1">
          <x14:formula1>
            <xm:f>'[6]Drop Down Options'!#REF!</xm:f>
          </x14:formula1>
          <xm:sqref>D77:D80 D82:D83 D87:D88 G50:L55 D60:D62 D69:D75 D57 G14:H48 G5:H7 D5:D48 I5:L48 G69:L74 D50:D55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zoomScaleNormal="100" workbookViewId="0">
      <selection activeCell="B58" sqref="B58"/>
    </sheetView>
  </sheetViews>
  <sheetFormatPr defaultColWidth="9.140625" defaultRowHeight="12.75" x14ac:dyDescent="0.2"/>
  <cols>
    <col min="1" max="1" width="6.42578125" style="31" bestFit="1" customWidth="1"/>
    <col min="2" max="2" width="26" style="31" customWidth="1"/>
    <col min="3" max="3" width="35.28515625" style="31" customWidth="1"/>
    <col min="4" max="4" width="24.5703125" style="31" customWidth="1"/>
    <col min="5" max="5" width="30.85546875" style="31" customWidth="1"/>
    <col min="6" max="6" width="43.42578125" style="31" customWidth="1"/>
    <col min="7" max="7" width="23.140625" style="31" customWidth="1"/>
    <col min="8" max="8" width="12.7109375" style="31" customWidth="1"/>
    <col min="9" max="9" width="10.5703125" style="31" customWidth="1"/>
    <col min="10" max="16384" width="9.140625" style="31"/>
  </cols>
  <sheetData>
    <row r="1" spans="1:10" ht="12.75" customHeight="1" x14ac:dyDescent="0.2">
      <c r="B1" s="30" t="s">
        <v>0</v>
      </c>
      <c r="C1" s="322" t="s">
        <v>806</v>
      </c>
      <c r="D1" s="322"/>
      <c r="E1" s="49"/>
    </row>
    <row r="2" spans="1:10" ht="12.75" customHeight="1" x14ac:dyDescent="0.2">
      <c r="B2" s="30" t="s">
        <v>1</v>
      </c>
      <c r="C2" s="323">
        <v>43210</v>
      </c>
      <c r="D2" s="323"/>
      <c r="E2" s="49"/>
    </row>
    <row r="3" spans="1:10" ht="13.5" customHeight="1" x14ac:dyDescent="0.2">
      <c r="A3" s="13"/>
      <c r="B3" s="49"/>
      <c r="C3" s="49"/>
      <c r="D3" s="49"/>
      <c r="E3" s="5"/>
    </row>
    <row r="4" spans="1:10" ht="114.75" x14ac:dyDescent="0.2">
      <c r="A4" s="3" t="s">
        <v>5</v>
      </c>
      <c r="B4" s="7" t="s">
        <v>33</v>
      </c>
      <c r="C4" s="7" t="s">
        <v>144</v>
      </c>
      <c r="D4" s="3" t="s">
        <v>176</v>
      </c>
      <c r="E4" s="3" t="s">
        <v>41</v>
      </c>
      <c r="F4" s="3" t="s">
        <v>42</v>
      </c>
      <c r="G4" s="7" t="s">
        <v>25</v>
      </c>
      <c r="H4" s="5"/>
      <c r="I4" s="5"/>
      <c r="J4" s="5"/>
    </row>
    <row r="5" spans="1:10" ht="63.75" x14ac:dyDescent="0.2">
      <c r="A5" s="33">
        <v>1</v>
      </c>
      <c r="B5" s="80" t="s">
        <v>1581</v>
      </c>
      <c r="C5" s="14" t="s">
        <v>248</v>
      </c>
      <c r="D5" s="14"/>
      <c r="E5" s="72" t="s">
        <v>1565</v>
      </c>
      <c r="F5" s="72" t="s">
        <v>1691</v>
      </c>
      <c r="G5" s="72" t="s">
        <v>791</v>
      </c>
      <c r="H5" s="5"/>
      <c r="I5" s="5"/>
      <c r="J5" s="5"/>
    </row>
    <row r="6" spans="1:10" s="49" customFormat="1" ht="25.5" x14ac:dyDescent="0.2">
      <c r="A6" s="33">
        <f>A5+1</f>
        <v>2</v>
      </c>
      <c r="B6" s="33" t="s">
        <v>682</v>
      </c>
      <c r="C6" s="14" t="s">
        <v>248</v>
      </c>
      <c r="D6" s="14" t="s">
        <v>584</v>
      </c>
      <c r="E6" s="72" t="s">
        <v>1566</v>
      </c>
      <c r="F6" s="72" t="s">
        <v>1580</v>
      </c>
      <c r="G6" s="72" t="s">
        <v>791</v>
      </c>
    </row>
    <row r="7" spans="1:10" ht="38.25" x14ac:dyDescent="0.2">
      <c r="A7" s="33">
        <f t="shared" ref="A7:A70" si="0">A6+1</f>
        <v>3</v>
      </c>
      <c r="B7" s="33" t="s">
        <v>683</v>
      </c>
      <c r="C7" s="14" t="s">
        <v>250</v>
      </c>
      <c r="D7" s="14"/>
      <c r="E7" s="72" t="s">
        <v>752</v>
      </c>
      <c r="F7" s="72" t="s">
        <v>1692</v>
      </c>
      <c r="G7" s="72" t="s">
        <v>791</v>
      </c>
    </row>
    <row r="8" spans="1:10" ht="51" x14ac:dyDescent="0.2">
      <c r="A8" s="33">
        <f t="shared" si="0"/>
        <v>4</v>
      </c>
      <c r="B8" s="33" t="s">
        <v>684</v>
      </c>
      <c r="C8" s="14" t="s">
        <v>248</v>
      </c>
      <c r="D8" s="14"/>
      <c r="E8" s="72" t="s">
        <v>753</v>
      </c>
      <c r="F8" s="72" t="s">
        <v>1691</v>
      </c>
      <c r="G8" s="72" t="s">
        <v>792</v>
      </c>
    </row>
    <row r="9" spans="1:10" ht="43.15" customHeight="1" x14ac:dyDescent="0.2">
      <c r="A9" s="33">
        <f t="shared" si="0"/>
        <v>5</v>
      </c>
      <c r="B9" s="4" t="s">
        <v>972</v>
      </c>
      <c r="C9" s="162" t="s">
        <v>248</v>
      </c>
      <c r="D9" s="4"/>
      <c r="E9" s="4" t="s">
        <v>756</v>
      </c>
      <c r="F9" s="4" t="s">
        <v>1691</v>
      </c>
      <c r="G9" s="86" t="s">
        <v>791</v>
      </c>
    </row>
    <row r="10" spans="1:10" ht="153" x14ac:dyDescent="0.2">
      <c r="A10" s="33">
        <f t="shared" si="0"/>
        <v>6</v>
      </c>
      <c r="B10" s="33" t="s">
        <v>1582</v>
      </c>
      <c r="C10" s="14" t="s">
        <v>248</v>
      </c>
      <c r="D10" s="14"/>
      <c r="E10" s="72" t="s">
        <v>754</v>
      </c>
      <c r="F10" s="171" t="s">
        <v>1708</v>
      </c>
      <c r="G10" s="171" t="s">
        <v>1707</v>
      </c>
    </row>
    <row r="11" spans="1:10" ht="63.75" x14ac:dyDescent="0.2">
      <c r="A11" s="33">
        <f t="shared" si="0"/>
        <v>7</v>
      </c>
      <c r="B11" s="33" t="s">
        <v>685</v>
      </c>
      <c r="C11" s="14" t="s">
        <v>248</v>
      </c>
      <c r="D11" s="14"/>
      <c r="E11" s="72" t="s">
        <v>1567</v>
      </c>
      <c r="F11" s="72" t="s">
        <v>1691</v>
      </c>
      <c r="G11" s="72" t="s">
        <v>792</v>
      </c>
    </row>
    <row r="12" spans="1:10" ht="89.25" x14ac:dyDescent="0.2">
      <c r="A12" s="33">
        <f t="shared" si="0"/>
        <v>8</v>
      </c>
      <c r="B12" s="33" t="s">
        <v>686</v>
      </c>
      <c r="C12" s="14" t="s">
        <v>248</v>
      </c>
      <c r="D12" s="14"/>
      <c r="E12" s="72" t="s">
        <v>1568</v>
      </c>
      <c r="F12" s="72" t="s">
        <v>1580</v>
      </c>
      <c r="G12" s="72" t="s">
        <v>791</v>
      </c>
    </row>
    <row r="13" spans="1:10" ht="38.25" x14ac:dyDescent="0.2">
      <c r="A13" s="33">
        <f t="shared" si="0"/>
        <v>9</v>
      </c>
      <c r="B13" s="33" t="s">
        <v>687</v>
      </c>
      <c r="C13" s="14" t="s">
        <v>248</v>
      </c>
      <c r="D13" s="14"/>
      <c r="E13" s="72" t="s">
        <v>1569</v>
      </c>
      <c r="F13" s="72" t="s">
        <v>1580</v>
      </c>
      <c r="G13" s="72" t="s">
        <v>791</v>
      </c>
    </row>
    <row r="14" spans="1:10" ht="140.25" x14ac:dyDescent="0.2">
      <c r="A14" s="33">
        <f t="shared" si="0"/>
        <v>10</v>
      </c>
      <c r="B14" s="33" t="s">
        <v>1546</v>
      </c>
      <c r="C14" s="14" t="s">
        <v>248</v>
      </c>
      <c r="D14" s="14"/>
      <c r="E14" s="72" t="s">
        <v>756</v>
      </c>
      <c r="F14" s="72" t="s">
        <v>1691</v>
      </c>
      <c r="G14" s="72" t="s">
        <v>791</v>
      </c>
    </row>
    <row r="15" spans="1:10" ht="38.25" x14ac:dyDescent="0.2">
      <c r="A15" s="33">
        <f t="shared" si="0"/>
        <v>11</v>
      </c>
      <c r="B15" s="33" t="s">
        <v>1547</v>
      </c>
      <c r="C15" s="14" t="s">
        <v>248</v>
      </c>
      <c r="D15" s="14"/>
      <c r="E15" s="72" t="s">
        <v>1570</v>
      </c>
      <c r="F15" s="72" t="s">
        <v>1580</v>
      </c>
      <c r="G15" s="72" t="s">
        <v>963</v>
      </c>
    </row>
    <row r="16" spans="1:10" ht="387.75" x14ac:dyDescent="0.2">
      <c r="A16" s="33">
        <f t="shared" si="0"/>
        <v>12</v>
      </c>
      <c r="B16" s="113" t="s">
        <v>1584</v>
      </c>
      <c r="C16" s="14" t="s">
        <v>248</v>
      </c>
      <c r="D16" s="14"/>
      <c r="E16" s="72" t="s">
        <v>757</v>
      </c>
      <c r="F16" s="72" t="s">
        <v>1691</v>
      </c>
      <c r="G16" s="72" t="s">
        <v>793</v>
      </c>
    </row>
    <row r="17" spans="1:7" ht="76.5" x14ac:dyDescent="0.2">
      <c r="A17" s="33">
        <f t="shared" si="0"/>
        <v>13</v>
      </c>
      <c r="B17" s="33" t="s">
        <v>689</v>
      </c>
      <c r="C17" s="14" t="s">
        <v>248</v>
      </c>
      <c r="D17" s="14"/>
      <c r="E17" s="72" t="s">
        <v>755</v>
      </c>
      <c r="F17" s="72" t="s">
        <v>1580</v>
      </c>
      <c r="G17" s="72" t="s">
        <v>791</v>
      </c>
    </row>
    <row r="18" spans="1:7" ht="114.75" x14ac:dyDescent="0.2">
      <c r="A18" s="33">
        <f t="shared" si="0"/>
        <v>14</v>
      </c>
      <c r="B18" s="33" t="s">
        <v>690</v>
      </c>
      <c r="C18" s="14" t="s">
        <v>248</v>
      </c>
      <c r="D18" s="14"/>
      <c r="E18" s="72" t="s">
        <v>758</v>
      </c>
      <c r="F18" s="72" t="s">
        <v>1580</v>
      </c>
      <c r="G18" s="72" t="s">
        <v>794</v>
      </c>
    </row>
    <row r="19" spans="1:7" ht="267.75" x14ac:dyDescent="0.2">
      <c r="A19" s="33">
        <f t="shared" si="0"/>
        <v>15</v>
      </c>
      <c r="B19" s="33" t="s">
        <v>1548</v>
      </c>
      <c r="C19" s="14" t="s">
        <v>248</v>
      </c>
      <c r="D19" s="14"/>
      <c r="E19" s="72" t="s">
        <v>759</v>
      </c>
      <c r="F19" s="72" t="s">
        <v>1579</v>
      </c>
      <c r="G19" s="72" t="s">
        <v>960</v>
      </c>
    </row>
    <row r="20" spans="1:7" ht="38.25" x14ac:dyDescent="0.2">
      <c r="A20" s="33">
        <f t="shared" si="0"/>
        <v>16</v>
      </c>
      <c r="B20" s="33" t="s">
        <v>1549</v>
      </c>
      <c r="C20" s="14" t="s">
        <v>248</v>
      </c>
      <c r="D20" s="14"/>
      <c r="E20" s="14" t="s">
        <v>1571</v>
      </c>
      <c r="F20" s="14" t="s">
        <v>1580</v>
      </c>
      <c r="G20" s="14" t="s">
        <v>791</v>
      </c>
    </row>
    <row r="21" spans="1:7" ht="114.75" x14ac:dyDescent="0.2">
      <c r="A21" s="33">
        <f t="shared" si="0"/>
        <v>17</v>
      </c>
      <c r="B21" s="33" t="s">
        <v>1550</v>
      </c>
      <c r="C21" s="14" t="s">
        <v>248</v>
      </c>
      <c r="D21" s="14"/>
      <c r="E21" s="72" t="s">
        <v>756</v>
      </c>
      <c r="F21" s="72" t="s">
        <v>1691</v>
      </c>
      <c r="G21" s="72" t="s">
        <v>791</v>
      </c>
    </row>
    <row r="22" spans="1:7" ht="407.45" customHeight="1" x14ac:dyDescent="0.2">
      <c r="A22" s="33">
        <f t="shared" si="0"/>
        <v>18</v>
      </c>
      <c r="B22" s="112" t="s">
        <v>1551</v>
      </c>
      <c r="C22" s="14"/>
      <c r="D22" s="14"/>
      <c r="E22" s="72" t="s">
        <v>760</v>
      </c>
      <c r="F22" s="72" t="s">
        <v>1691</v>
      </c>
      <c r="G22" s="72" t="s">
        <v>795</v>
      </c>
    </row>
    <row r="23" spans="1:7" ht="44.25" customHeight="1" x14ac:dyDescent="0.2">
      <c r="A23" s="33">
        <f t="shared" si="0"/>
        <v>19</v>
      </c>
      <c r="B23" s="33" t="s">
        <v>693</v>
      </c>
      <c r="C23" s="14" t="s">
        <v>248</v>
      </c>
      <c r="D23" s="14"/>
      <c r="E23" s="72" t="s">
        <v>761</v>
      </c>
      <c r="F23" s="72" t="s">
        <v>1691</v>
      </c>
      <c r="G23" s="72" t="s">
        <v>961</v>
      </c>
    </row>
    <row r="24" spans="1:7" ht="76.5" x14ac:dyDescent="0.2">
      <c r="A24" s="33">
        <f t="shared" si="0"/>
        <v>20</v>
      </c>
      <c r="B24" s="33" t="s">
        <v>882</v>
      </c>
      <c r="C24" s="14" t="s">
        <v>248</v>
      </c>
      <c r="D24" s="14"/>
      <c r="E24" s="72" t="s">
        <v>1572</v>
      </c>
      <c r="F24" s="72" t="s">
        <v>1691</v>
      </c>
      <c r="G24" s="72" t="s">
        <v>791</v>
      </c>
    </row>
    <row r="25" spans="1:7" ht="42" customHeight="1" x14ac:dyDescent="0.2">
      <c r="A25" s="33">
        <f t="shared" si="0"/>
        <v>21</v>
      </c>
      <c r="B25" s="33" t="s">
        <v>694</v>
      </c>
      <c r="C25" s="14" t="s">
        <v>248</v>
      </c>
      <c r="D25" s="14"/>
      <c r="E25" s="72" t="s">
        <v>761</v>
      </c>
      <c r="F25" s="72" t="s">
        <v>1691</v>
      </c>
      <c r="G25" s="72" t="s">
        <v>962</v>
      </c>
    </row>
    <row r="26" spans="1:7" ht="140.25" x14ac:dyDescent="0.2">
      <c r="A26" s="33">
        <f t="shared" si="0"/>
        <v>22</v>
      </c>
      <c r="B26" s="33" t="s">
        <v>695</v>
      </c>
      <c r="C26" s="14" t="s">
        <v>248</v>
      </c>
      <c r="D26" s="14"/>
      <c r="E26" s="72" t="s">
        <v>760</v>
      </c>
      <c r="F26" s="72" t="s">
        <v>1580</v>
      </c>
      <c r="G26" s="72" t="s">
        <v>973</v>
      </c>
    </row>
    <row r="27" spans="1:7" ht="140.25" x14ac:dyDescent="0.2">
      <c r="A27" s="33">
        <f t="shared" si="0"/>
        <v>23</v>
      </c>
      <c r="B27" s="33" t="s">
        <v>696</v>
      </c>
      <c r="C27" s="14" t="s">
        <v>248</v>
      </c>
      <c r="D27" s="14"/>
      <c r="E27" s="72" t="s">
        <v>762</v>
      </c>
      <c r="F27" s="72" t="s">
        <v>1580</v>
      </c>
      <c r="G27" s="72" t="s">
        <v>796</v>
      </c>
    </row>
    <row r="28" spans="1:7" ht="140.25" x14ac:dyDescent="0.2">
      <c r="A28" s="33">
        <f t="shared" si="0"/>
        <v>24</v>
      </c>
      <c r="B28" s="33" t="s">
        <v>697</v>
      </c>
      <c r="C28" s="14" t="s">
        <v>248</v>
      </c>
      <c r="D28" s="14"/>
      <c r="E28" s="72" t="s">
        <v>763</v>
      </c>
      <c r="F28" s="72" t="s">
        <v>1580</v>
      </c>
      <c r="G28" s="72" t="s">
        <v>791</v>
      </c>
    </row>
    <row r="29" spans="1:7" ht="38.25" x14ac:dyDescent="0.2">
      <c r="A29" s="33">
        <f t="shared" si="0"/>
        <v>25</v>
      </c>
      <c r="B29" s="33" t="s">
        <v>698</v>
      </c>
      <c r="C29" s="14" t="s">
        <v>248</v>
      </c>
      <c r="D29" s="14"/>
      <c r="E29" s="72" t="s">
        <v>764</v>
      </c>
      <c r="F29" s="72" t="s">
        <v>1691</v>
      </c>
      <c r="G29" s="72" t="s">
        <v>793</v>
      </c>
    </row>
    <row r="30" spans="1:7" ht="178.5" x14ac:dyDescent="0.2">
      <c r="A30" s="33">
        <f t="shared" si="0"/>
        <v>26</v>
      </c>
      <c r="B30" s="33" t="s">
        <v>699</v>
      </c>
      <c r="C30" s="14" t="s">
        <v>248</v>
      </c>
      <c r="D30" s="14"/>
      <c r="E30" s="72" t="s">
        <v>762</v>
      </c>
      <c r="F30" s="72" t="s">
        <v>1691</v>
      </c>
      <c r="G30" s="72" t="s">
        <v>797</v>
      </c>
    </row>
    <row r="31" spans="1:7" ht="114.75" x14ac:dyDescent="0.2">
      <c r="A31" s="33">
        <f t="shared" si="0"/>
        <v>27</v>
      </c>
      <c r="B31" s="33" t="s">
        <v>1552</v>
      </c>
      <c r="C31" s="14" t="s">
        <v>248</v>
      </c>
      <c r="D31" s="14"/>
      <c r="E31" s="72" t="s">
        <v>762</v>
      </c>
      <c r="F31" s="72" t="s">
        <v>1691</v>
      </c>
      <c r="G31" s="72" t="s">
        <v>797</v>
      </c>
    </row>
    <row r="32" spans="1:7" ht="51" x14ac:dyDescent="0.2">
      <c r="A32" s="33">
        <f t="shared" si="0"/>
        <v>28</v>
      </c>
      <c r="B32" s="33" t="s">
        <v>701</v>
      </c>
      <c r="C32" s="14" t="s">
        <v>248</v>
      </c>
      <c r="D32" s="14"/>
      <c r="E32" s="72" t="s">
        <v>762</v>
      </c>
      <c r="F32" s="72" t="s">
        <v>1580</v>
      </c>
      <c r="G32" s="72" t="s">
        <v>791</v>
      </c>
    </row>
    <row r="33" spans="1:7" ht="51" x14ac:dyDescent="0.2">
      <c r="A33" s="33">
        <f t="shared" si="0"/>
        <v>29</v>
      </c>
      <c r="B33" s="33" t="s">
        <v>702</v>
      </c>
      <c r="C33" s="14" t="s">
        <v>248</v>
      </c>
      <c r="D33" s="14"/>
      <c r="E33" s="72" t="s">
        <v>762</v>
      </c>
      <c r="F33" s="72" t="s">
        <v>1691</v>
      </c>
      <c r="G33" s="72" t="s">
        <v>791</v>
      </c>
    </row>
    <row r="34" spans="1:7" ht="38.25" x14ac:dyDescent="0.2">
      <c r="A34" s="33">
        <f t="shared" si="0"/>
        <v>30</v>
      </c>
      <c r="B34" s="33" t="s">
        <v>894</v>
      </c>
      <c r="C34" s="14" t="s">
        <v>248</v>
      </c>
      <c r="D34" s="14"/>
      <c r="E34" s="86" t="s">
        <v>762</v>
      </c>
      <c r="F34" s="86" t="s">
        <v>1691</v>
      </c>
      <c r="G34" s="86" t="s">
        <v>791</v>
      </c>
    </row>
    <row r="35" spans="1:7" ht="63.75" x14ac:dyDescent="0.2">
      <c r="A35" s="33">
        <f t="shared" si="0"/>
        <v>31</v>
      </c>
      <c r="B35" s="33" t="s">
        <v>1553</v>
      </c>
      <c r="C35" s="14" t="s">
        <v>248</v>
      </c>
      <c r="D35" s="14"/>
      <c r="E35" s="72" t="s">
        <v>762</v>
      </c>
      <c r="F35" s="72" t="s">
        <v>1691</v>
      </c>
      <c r="G35" s="72" t="s">
        <v>798</v>
      </c>
    </row>
    <row r="36" spans="1:7" ht="38.25" x14ac:dyDescent="0.2">
      <c r="A36" s="33">
        <f t="shared" si="0"/>
        <v>32</v>
      </c>
      <c r="B36" s="33" t="s">
        <v>1554</v>
      </c>
      <c r="C36" s="14" t="s">
        <v>248</v>
      </c>
      <c r="D36" s="14"/>
      <c r="E36" s="72" t="s">
        <v>762</v>
      </c>
      <c r="F36" s="72" t="s">
        <v>1580</v>
      </c>
      <c r="G36" s="72" t="s">
        <v>963</v>
      </c>
    </row>
    <row r="37" spans="1:7" ht="89.25" x14ac:dyDescent="0.2">
      <c r="A37" s="33">
        <f t="shared" si="0"/>
        <v>33</v>
      </c>
      <c r="B37" s="33" t="s">
        <v>1555</v>
      </c>
      <c r="C37" s="14" t="s">
        <v>248</v>
      </c>
      <c r="D37" s="14"/>
      <c r="E37" s="72" t="s">
        <v>762</v>
      </c>
      <c r="F37" s="72" t="s">
        <v>1580</v>
      </c>
      <c r="G37" s="72" t="s">
        <v>964</v>
      </c>
    </row>
    <row r="38" spans="1:7" ht="38.25" x14ac:dyDescent="0.2">
      <c r="A38" s="33">
        <f t="shared" si="0"/>
        <v>34</v>
      </c>
      <c r="B38" s="33" t="s">
        <v>706</v>
      </c>
      <c r="C38" s="14" t="s">
        <v>248</v>
      </c>
      <c r="D38" s="14"/>
      <c r="E38" s="72" t="s">
        <v>762</v>
      </c>
      <c r="F38" s="72" t="s">
        <v>1691</v>
      </c>
      <c r="G38" s="72" t="s">
        <v>791</v>
      </c>
    </row>
    <row r="39" spans="1:7" ht="38.25" x14ac:dyDescent="0.2">
      <c r="A39" s="33">
        <f t="shared" si="0"/>
        <v>35</v>
      </c>
      <c r="B39" s="33" t="s">
        <v>707</v>
      </c>
      <c r="C39" s="14" t="s">
        <v>248</v>
      </c>
      <c r="D39" s="14"/>
      <c r="E39" s="72" t="s">
        <v>758</v>
      </c>
      <c r="F39" s="72" t="s">
        <v>1691</v>
      </c>
      <c r="G39" s="72" t="s">
        <v>799</v>
      </c>
    </row>
    <row r="40" spans="1:7" ht="102" x14ac:dyDescent="0.2">
      <c r="A40" s="33">
        <f t="shared" si="0"/>
        <v>36</v>
      </c>
      <c r="B40" s="33" t="s">
        <v>1556</v>
      </c>
      <c r="C40" s="14" t="s">
        <v>248</v>
      </c>
      <c r="D40" s="14"/>
      <c r="E40" s="72" t="s">
        <v>765</v>
      </c>
      <c r="F40" s="72" t="s">
        <v>1580</v>
      </c>
      <c r="G40" s="72" t="s">
        <v>792</v>
      </c>
    </row>
    <row r="41" spans="1:7" ht="153" x14ac:dyDescent="0.2">
      <c r="A41" s="33">
        <f t="shared" si="0"/>
        <v>37</v>
      </c>
      <c r="B41" s="33" t="s">
        <v>965</v>
      </c>
      <c r="C41" s="14" t="s">
        <v>248</v>
      </c>
      <c r="D41" s="14"/>
      <c r="E41" s="72" t="s">
        <v>967</v>
      </c>
      <c r="F41" s="171" t="s">
        <v>1693</v>
      </c>
      <c r="G41" s="72" t="s">
        <v>800</v>
      </c>
    </row>
    <row r="42" spans="1:7" ht="38.25" x14ac:dyDescent="0.2">
      <c r="A42" s="33">
        <f t="shared" si="0"/>
        <v>38</v>
      </c>
      <c r="B42" s="33" t="s">
        <v>1557</v>
      </c>
      <c r="C42" s="14" t="s">
        <v>248</v>
      </c>
      <c r="D42" s="14"/>
      <c r="E42" s="72" t="s">
        <v>766</v>
      </c>
      <c r="F42" s="72" t="s">
        <v>1580</v>
      </c>
      <c r="G42" s="72" t="s">
        <v>795</v>
      </c>
    </row>
    <row r="43" spans="1:7" ht="357" x14ac:dyDescent="0.2">
      <c r="A43" s="33">
        <f t="shared" si="0"/>
        <v>39</v>
      </c>
      <c r="B43" s="33" t="s">
        <v>1558</v>
      </c>
      <c r="C43" s="14" t="s">
        <v>248</v>
      </c>
      <c r="D43" s="14"/>
      <c r="E43" s="72" t="s">
        <v>968</v>
      </c>
      <c r="F43" s="72" t="s">
        <v>1580</v>
      </c>
      <c r="G43" s="72" t="s">
        <v>791</v>
      </c>
    </row>
    <row r="44" spans="1:7" ht="127.5" x14ac:dyDescent="0.2">
      <c r="A44" s="33">
        <f t="shared" si="0"/>
        <v>40</v>
      </c>
      <c r="B44" s="33" t="s">
        <v>1583</v>
      </c>
      <c r="C44" s="14" t="s">
        <v>248</v>
      </c>
      <c r="D44" s="14"/>
      <c r="E44" s="72" t="s">
        <v>767</v>
      </c>
      <c r="F44" s="72" t="s">
        <v>1580</v>
      </c>
      <c r="G44" s="72" t="s">
        <v>799</v>
      </c>
    </row>
    <row r="45" spans="1:7" ht="41.25" customHeight="1" x14ac:dyDescent="0.2">
      <c r="A45" s="33">
        <f t="shared" si="0"/>
        <v>41</v>
      </c>
      <c r="B45" s="33" t="s">
        <v>711</v>
      </c>
      <c r="C45" s="14" t="s">
        <v>248</v>
      </c>
      <c r="D45" s="14"/>
      <c r="E45" s="72" t="s">
        <v>768</v>
      </c>
      <c r="F45" s="72" t="s">
        <v>1580</v>
      </c>
      <c r="G45" s="72" t="s">
        <v>802</v>
      </c>
    </row>
    <row r="46" spans="1:7" ht="76.5" x14ac:dyDescent="0.2">
      <c r="A46" s="33">
        <f t="shared" si="0"/>
        <v>42</v>
      </c>
      <c r="B46" s="33" t="s">
        <v>1559</v>
      </c>
      <c r="C46" s="14" t="s">
        <v>248</v>
      </c>
      <c r="D46" s="14"/>
      <c r="E46" s="72" t="s">
        <v>769</v>
      </c>
      <c r="F46" s="72" t="s">
        <v>1691</v>
      </c>
      <c r="G46" s="72" t="s">
        <v>969</v>
      </c>
    </row>
    <row r="47" spans="1:7" ht="114.75" x14ac:dyDescent="0.2">
      <c r="A47" s="33">
        <f t="shared" si="0"/>
        <v>43</v>
      </c>
      <c r="B47" s="77" t="s">
        <v>713</v>
      </c>
      <c r="C47" s="14"/>
      <c r="D47" s="14"/>
      <c r="E47" s="72" t="s">
        <v>770</v>
      </c>
      <c r="F47" s="72" t="s">
        <v>1691</v>
      </c>
      <c r="G47" s="72" t="s">
        <v>801</v>
      </c>
    </row>
    <row r="48" spans="1:7" ht="63.75" x14ac:dyDescent="0.2">
      <c r="A48" s="33">
        <f t="shared" si="0"/>
        <v>44</v>
      </c>
      <c r="B48" s="33" t="s">
        <v>1560</v>
      </c>
      <c r="C48" s="14" t="s">
        <v>248</v>
      </c>
      <c r="D48" s="14"/>
      <c r="E48" s="72" t="s">
        <v>771</v>
      </c>
      <c r="F48" s="72" t="s">
        <v>1691</v>
      </c>
      <c r="G48" s="72" t="s">
        <v>802</v>
      </c>
    </row>
    <row r="49" spans="1:7" ht="38.25" x14ac:dyDescent="0.2">
      <c r="A49" s="33">
        <f t="shared" si="0"/>
        <v>45</v>
      </c>
      <c r="B49" s="33" t="s">
        <v>715</v>
      </c>
      <c r="C49" s="14" t="s">
        <v>248</v>
      </c>
      <c r="D49" s="14"/>
      <c r="E49" s="72" t="s">
        <v>772</v>
      </c>
      <c r="F49" s="72" t="s">
        <v>1580</v>
      </c>
      <c r="G49" s="72" t="s">
        <v>970</v>
      </c>
    </row>
    <row r="50" spans="1:7" ht="76.5" x14ac:dyDescent="0.2">
      <c r="A50" s="33">
        <f t="shared" si="0"/>
        <v>46</v>
      </c>
      <c r="B50" s="33" t="s">
        <v>716</v>
      </c>
      <c r="C50" s="14" t="s">
        <v>248</v>
      </c>
      <c r="D50" s="14"/>
      <c r="E50" s="4" t="s">
        <v>971</v>
      </c>
      <c r="F50" s="4" t="s">
        <v>1580</v>
      </c>
      <c r="G50" s="4" t="s">
        <v>791</v>
      </c>
    </row>
    <row r="51" spans="1:7" ht="114.75" x14ac:dyDescent="0.2">
      <c r="A51" s="33">
        <f t="shared" si="0"/>
        <v>47</v>
      </c>
      <c r="B51" s="72" t="s">
        <v>717</v>
      </c>
      <c r="C51" s="14" t="s">
        <v>248</v>
      </c>
      <c r="D51" s="14"/>
      <c r="E51" s="4" t="s">
        <v>971</v>
      </c>
      <c r="F51" s="4" t="s">
        <v>1580</v>
      </c>
      <c r="G51" s="4" t="s">
        <v>791</v>
      </c>
    </row>
    <row r="52" spans="1:7" ht="51" x14ac:dyDescent="0.2">
      <c r="A52" s="33">
        <f t="shared" si="0"/>
        <v>48</v>
      </c>
      <c r="B52" s="33" t="s">
        <v>598</v>
      </c>
      <c r="C52" s="14" t="s">
        <v>248</v>
      </c>
      <c r="D52" s="14"/>
      <c r="E52" s="72" t="s">
        <v>773</v>
      </c>
      <c r="F52" s="72" t="s">
        <v>1580</v>
      </c>
      <c r="G52" s="72" t="s">
        <v>1728</v>
      </c>
    </row>
    <row r="53" spans="1:7" ht="51" x14ac:dyDescent="0.2">
      <c r="A53" s="33">
        <f t="shared" si="0"/>
        <v>49</v>
      </c>
      <c r="B53" s="33" t="s">
        <v>718</v>
      </c>
      <c r="C53" s="14" t="s">
        <v>248</v>
      </c>
      <c r="D53" s="14"/>
      <c r="E53" s="72" t="s">
        <v>774</v>
      </c>
      <c r="F53" s="72" t="s">
        <v>1580</v>
      </c>
      <c r="G53" s="72" t="s">
        <v>1728</v>
      </c>
    </row>
    <row r="54" spans="1:7" ht="51" x14ac:dyDescent="0.2">
      <c r="A54" s="33">
        <f t="shared" si="0"/>
        <v>50</v>
      </c>
      <c r="B54" s="33" t="s">
        <v>609</v>
      </c>
      <c r="C54" s="14" t="s">
        <v>248</v>
      </c>
      <c r="D54" s="14"/>
      <c r="E54" s="72" t="s">
        <v>775</v>
      </c>
      <c r="F54" s="72" t="s">
        <v>1694</v>
      </c>
      <c r="G54" s="72" t="s">
        <v>803</v>
      </c>
    </row>
    <row r="55" spans="1:7" ht="38.25" x14ac:dyDescent="0.2">
      <c r="A55" s="33">
        <f t="shared" si="0"/>
        <v>51</v>
      </c>
      <c r="B55" s="33" t="s">
        <v>719</v>
      </c>
      <c r="C55" s="14" t="s">
        <v>250</v>
      </c>
      <c r="D55" s="14"/>
      <c r="E55" s="72" t="s">
        <v>776</v>
      </c>
      <c r="F55" s="72" t="s">
        <v>1695</v>
      </c>
      <c r="G55" s="72" t="s">
        <v>1712</v>
      </c>
    </row>
    <row r="56" spans="1:7" ht="38.25" x14ac:dyDescent="0.2">
      <c r="A56" s="33">
        <f t="shared" si="0"/>
        <v>52</v>
      </c>
      <c r="B56" s="33" t="s">
        <v>610</v>
      </c>
      <c r="C56" s="14" t="s">
        <v>248</v>
      </c>
      <c r="D56" s="14"/>
      <c r="E56" s="4" t="s">
        <v>1573</v>
      </c>
      <c r="F56" s="114" t="s">
        <v>1580</v>
      </c>
      <c r="G56" s="4" t="s">
        <v>1713</v>
      </c>
    </row>
    <row r="57" spans="1:7" ht="25.5" x14ac:dyDescent="0.2">
      <c r="A57" s="33">
        <f t="shared" si="0"/>
        <v>53</v>
      </c>
      <c r="B57" s="33" t="s">
        <v>720</v>
      </c>
      <c r="C57" s="14" t="s">
        <v>248</v>
      </c>
      <c r="D57" s="14"/>
      <c r="E57" s="4" t="s">
        <v>1574</v>
      </c>
      <c r="F57" s="114" t="s">
        <v>1580</v>
      </c>
      <c r="G57" s="4" t="s">
        <v>1726</v>
      </c>
    </row>
    <row r="58" spans="1:7" ht="76.5" x14ac:dyDescent="0.2">
      <c r="A58" s="33">
        <f t="shared" si="0"/>
        <v>54</v>
      </c>
      <c r="B58" s="33" t="s">
        <v>721</v>
      </c>
      <c r="C58" s="14" t="s">
        <v>248</v>
      </c>
      <c r="D58" s="14"/>
      <c r="E58" s="4" t="s">
        <v>777</v>
      </c>
      <c r="F58" s="4" t="s">
        <v>1696</v>
      </c>
      <c r="G58" s="4" t="s">
        <v>1727</v>
      </c>
    </row>
    <row r="59" spans="1:7" ht="51" x14ac:dyDescent="0.2">
      <c r="A59" s="33">
        <f t="shared" si="0"/>
        <v>55</v>
      </c>
      <c r="B59" s="33" t="s">
        <v>1561</v>
      </c>
      <c r="C59" s="14" t="s">
        <v>249</v>
      </c>
      <c r="D59" s="14"/>
      <c r="E59" s="4" t="s">
        <v>1574</v>
      </c>
      <c r="F59" s="4" t="s">
        <v>1697</v>
      </c>
      <c r="G59" s="4" t="s">
        <v>1714</v>
      </c>
    </row>
    <row r="60" spans="1:7" ht="25.5" x14ac:dyDescent="0.2">
      <c r="A60" s="33">
        <f t="shared" si="0"/>
        <v>56</v>
      </c>
      <c r="B60" s="33" t="s">
        <v>723</v>
      </c>
      <c r="C60" s="14" t="s">
        <v>248</v>
      </c>
      <c r="D60" s="14"/>
      <c r="E60" s="4" t="s">
        <v>1574</v>
      </c>
      <c r="F60" s="114" t="s">
        <v>1580</v>
      </c>
      <c r="G60" s="4" t="s">
        <v>1726</v>
      </c>
    </row>
    <row r="61" spans="1:7" ht="25.5" x14ac:dyDescent="0.2">
      <c r="A61" s="33">
        <f t="shared" si="0"/>
        <v>57</v>
      </c>
      <c r="B61" s="33" t="s">
        <v>724</v>
      </c>
      <c r="C61" s="14" t="s">
        <v>249</v>
      </c>
      <c r="D61" s="14"/>
      <c r="E61" s="4" t="s">
        <v>1574</v>
      </c>
      <c r="F61" s="114" t="s">
        <v>1580</v>
      </c>
      <c r="G61" s="4" t="s">
        <v>1726</v>
      </c>
    </row>
    <row r="62" spans="1:7" ht="51" x14ac:dyDescent="0.2">
      <c r="A62" s="33">
        <f t="shared" si="0"/>
        <v>58</v>
      </c>
      <c r="B62" s="33" t="s">
        <v>725</v>
      </c>
      <c r="C62" s="14" t="s">
        <v>249</v>
      </c>
      <c r="D62" s="14"/>
      <c r="E62" s="4" t="s">
        <v>778</v>
      </c>
      <c r="F62" s="114" t="s">
        <v>1580</v>
      </c>
      <c r="G62" s="4" t="s">
        <v>1713</v>
      </c>
    </row>
    <row r="63" spans="1:7" ht="38.25" x14ac:dyDescent="0.2">
      <c r="A63" s="33">
        <f t="shared" si="0"/>
        <v>59</v>
      </c>
      <c r="B63" s="33" t="s">
        <v>726</v>
      </c>
      <c r="C63" s="14" t="s">
        <v>248</v>
      </c>
      <c r="D63" s="14"/>
      <c r="E63" s="4" t="s">
        <v>1574</v>
      </c>
      <c r="F63" s="4" t="s">
        <v>1698</v>
      </c>
      <c r="G63" s="4" t="s">
        <v>1715</v>
      </c>
    </row>
    <row r="64" spans="1:7" ht="38.25" x14ac:dyDescent="0.2">
      <c r="A64" s="33">
        <f t="shared" si="0"/>
        <v>60</v>
      </c>
      <c r="B64" s="33" t="s">
        <v>727</v>
      </c>
      <c r="C64" s="14" t="s">
        <v>248</v>
      </c>
      <c r="D64" s="14"/>
      <c r="E64" s="4" t="s">
        <v>779</v>
      </c>
      <c r="F64" s="4" t="s">
        <v>1699</v>
      </c>
      <c r="G64" s="4" t="s">
        <v>1715</v>
      </c>
    </row>
    <row r="65" spans="1:7" ht="25.5" x14ac:dyDescent="0.2">
      <c r="A65" s="33">
        <f t="shared" si="0"/>
        <v>61</v>
      </c>
      <c r="B65" s="33" t="s">
        <v>728</v>
      </c>
      <c r="C65" s="14" t="s">
        <v>248</v>
      </c>
      <c r="D65" s="14"/>
      <c r="E65" s="4" t="s">
        <v>1575</v>
      </c>
      <c r="F65" s="114" t="s">
        <v>1580</v>
      </c>
      <c r="G65" s="4" t="s">
        <v>792</v>
      </c>
    </row>
    <row r="66" spans="1:7" ht="25.5" x14ac:dyDescent="0.2">
      <c r="A66" s="33">
        <f t="shared" si="0"/>
        <v>62</v>
      </c>
      <c r="B66" s="33" t="s">
        <v>729</v>
      </c>
      <c r="C66" s="14" t="s">
        <v>248</v>
      </c>
      <c r="D66" s="14"/>
      <c r="E66" s="4" t="s">
        <v>1574</v>
      </c>
      <c r="F66" s="114" t="s">
        <v>1580</v>
      </c>
      <c r="G66" s="4" t="s">
        <v>1716</v>
      </c>
    </row>
    <row r="67" spans="1:7" ht="51" x14ac:dyDescent="0.2">
      <c r="A67" s="33">
        <f t="shared" si="0"/>
        <v>63</v>
      </c>
      <c r="B67" s="33" t="s">
        <v>730</v>
      </c>
      <c r="C67" s="14" t="s">
        <v>248</v>
      </c>
      <c r="D67" s="14"/>
      <c r="E67" s="4" t="s">
        <v>1576</v>
      </c>
      <c r="F67" s="4" t="s">
        <v>1700</v>
      </c>
      <c r="G67" s="4" t="s">
        <v>1713</v>
      </c>
    </row>
    <row r="68" spans="1:7" ht="25.5" x14ac:dyDescent="0.2">
      <c r="A68" s="33">
        <f t="shared" si="0"/>
        <v>64</v>
      </c>
      <c r="B68" s="33" t="s">
        <v>731</v>
      </c>
      <c r="C68" s="14" t="s">
        <v>248</v>
      </c>
      <c r="D68" s="14"/>
      <c r="E68" s="4" t="s">
        <v>1574</v>
      </c>
      <c r="F68" s="114" t="s">
        <v>1580</v>
      </c>
      <c r="G68" s="4" t="s">
        <v>1726</v>
      </c>
    </row>
    <row r="69" spans="1:7" ht="63.75" x14ac:dyDescent="0.2">
      <c r="A69" s="33">
        <f t="shared" si="0"/>
        <v>65</v>
      </c>
      <c r="B69" s="33" t="s">
        <v>732</v>
      </c>
      <c r="C69" s="14" t="s">
        <v>248</v>
      </c>
      <c r="D69" s="14"/>
      <c r="E69" s="72" t="s">
        <v>780</v>
      </c>
      <c r="F69" s="72" t="s">
        <v>1691</v>
      </c>
      <c r="G69" s="72" t="s">
        <v>804</v>
      </c>
    </row>
    <row r="70" spans="1:7" ht="63.75" x14ac:dyDescent="0.2">
      <c r="A70" s="33">
        <f t="shared" si="0"/>
        <v>66</v>
      </c>
      <c r="B70" s="33" t="s">
        <v>733</v>
      </c>
      <c r="C70" s="14" t="s">
        <v>249</v>
      </c>
      <c r="D70" s="14"/>
      <c r="E70" s="72" t="s">
        <v>781</v>
      </c>
      <c r="F70" s="72" t="s">
        <v>1691</v>
      </c>
      <c r="G70" s="72" t="s">
        <v>804</v>
      </c>
    </row>
    <row r="71" spans="1:7" ht="38.25" x14ac:dyDescent="0.2">
      <c r="A71" s="33">
        <f t="shared" ref="A71:A88" si="1">A70+1</f>
        <v>67</v>
      </c>
      <c r="B71" s="33" t="s">
        <v>734</v>
      </c>
      <c r="C71" s="14" t="s">
        <v>248</v>
      </c>
      <c r="D71" s="14"/>
      <c r="E71" s="72" t="s">
        <v>768</v>
      </c>
      <c r="F71" s="72" t="s">
        <v>1691</v>
      </c>
      <c r="G71" s="72" t="s">
        <v>801</v>
      </c>
    </row>
    <row r="72" spans="1:7" ht="63.75" x14ac:dyDescent="0.2">
      <c r="A72" s="33">
        <f t="shared" si="1"/>
        <v>68</v>
      </c>
      <c r="B72" s="33" t="s">
        <v>735</v>
      </c>
      <c r="C72" s="14" t="s">
        <v>248</v>
      </c>
      <c r="D72" s="14"/>
      <c r="E72" s="72" t="s">
        <v>1577</v>
      </c>
      <c r="F72" s="72" t="s">
        <v>1701</v>
      </c>
      <c r="G72" s="72" t="s">
        <v>804</v>
      </c>
    </row>
    <row r="73" spans="1:7" ht="63.75" x14ac:dyDescent="0.2">
      <c r="A73" s="33">
        <f t="shared" si="1"/>
        <v>69</v>
      </c>
      <c r="B73" s="33" t="s">
        <v>736</v>
      </c>
      <c r="C73" s="14" t="s">
        <v>248</v>
      </c>
      <c r="D73" s="14"/>
      <c r="E73" s="72" t="s">
        <v>782</v>
      </c>
      <c r="F73" s="72" t="s">
        <v>1702</v>
      </c>
      <c r="G73" s="72" t="s">
        <v>805</v>
      </c>
    </row>
    <row r="74" spans="1:7" ht="63.75" x14ac:dyDescent="0.2">
      <c r="A74" s="33">
        <f t="shared" si="1"/>
        <v>70</v>
      </c>
      <c r="B74" s="33" t="s">
        <v>737</v>
      </c>
      <c r="C74" s="14" t="s">
        <v>249</v>
      </c>
      <c r="D74" s="14"/>
      <c r="E74" s="72" t="s">
        <v>783</v>
      </c>
      <c r="F74" s="72" t="s">
        <v>1691</v>
      </c>
      <c r="G74" s="72" t="s">
        <v>804</v>
      </c>
    </row>
    <row r="75" spans="1:7" ht="102" x14ac:dyDescent="0.2">
      <c r="A75" s="33">
        <f t="shared" si="1"/>
        <v>71</v>
      </c>
      <c r="B75" s="33" t="s">
        <v>738</v>
      </c>
      <c r="C75" s="14" t="s">
        <v>250</v>
      </c>
      <c r="D75" s="14"/>
      <c r="E75" s="72" t="s">
        <v>784</v>
      </c>
      <c r="F75" s="72" t="s">
        <v>1703</v>
      </c>
      <c r="G75" s="72" t="s">
        <v>1717</v>
      </c>
    </row>
    <row r="76" spans="1:7" ht="38.25" x14ac:dyDescent="0.2">
      <c r="A76" s="33">
        <f t="shared" si="1"/>
        <v>72</v>
      </c>
      <c r="B76" s="78" t="s">
        <v>739</v>
      </c>
      <c r="C76" s="172" t="s">
        <v>250</v>
      </c>
      <c r="D76" s="14"/>
      <c r="E76" s="79" t="s">
        <v>785</v>
      </c>
      <c r="F76" s="72" t="s">
        <v>1704</v>
      </c>
      <c r="G76" s="72" t="s">
        <v>1709</v>
      </c>
    </row>
    <row r="77" spans="1:7" ht="38.25" x14ac:dyDescent="0.2">
      <c r="A77" s="33">
        <f t="shared" si="1"/>
        <v>73</v>
      </c>
      <c r="B77" s="78" t="s">
        <v>740</v>
      </c>
      <c r="C77" s="14" t="s">
        <v>250</v>
      </c>
      <c r="D77" s="14"/>
      <c r="E77" s="79" t="s">
        <v>1578</v>
      </c>
      <c r="F77" s="72" t="s">
        <v>1704</v>
      </c>
      <c r="G77" s="72" t="s">
        <v>1710</v>
      </c>
    </row>
    <row r="78" spans="1:7" ht="25.5" x14ac:dyDescent="0.2">
      <c r="A78" s="33">
        <f t="shared" si="1"/>
        <v>74</v>
      </c>
      <c r="B78" s="78" t="s">
        <v>1562</v>
      </c>
      <c r="C78" s="14" t="s">
        <v>248</v>
      </c>
      <c r="D78" s="14"/>
      <c r="E78" s="79" t="s">
        <v>1578</v>
      </c>
      <c r="F78" s="72" t="s">
        <v>1705</v>
      </c>
      <c r="G78" s="72" t="s">
        <v>1718</v>
      </c>
    </row>
    <row r="79" spans="1:7" ht="38.25" x14ac:dyDescent="0.2">
      <c r="A79" s="33">
        <f t="shared" si="1"/>
        <v>75</v>
      </c>
      <c r="B79" s="78" t="s">
        <v>742</v>
      </c>
      <c r="C79" s="14" t="s">
        <v>248</v>
      </c>
      <c r="D79" s="14"/>
      <c r="E79" s="79" t="s">
        <v>787</v>
      </c>
      <c r="F79" s="72" t="s">
        <v>1706</v>
      </c>
      <c r="G79" s="72" t="s">
        <v>1718</v>
      </c>
    </row>
    <row r="80" spans="1:7" ht="51" x14ac:dyDescent="0.2">
      <c r="A80" s="33">
        <f t="shared" si="1"/>
        <v>76</v>
      </c>
      <c r="B80" s="78" t="s">
        <v>743</v>
      </c>
      <c r="C80" s="14" t="s">
        <v>248</v>
      </c>
      <c r="D80" s="14"/>
      <c r="E80" s="79" t="s">
        <v>788</v>
      </c>
      <c r="F80" s="72" t="s">
        <v>1706</v>
      </c>
      <c r="G80" s="72" t="s">
        <v>1718</v>
      </c>
    </row>
    <row r="81" spans="1:7" ht="38.25" x14ac:dyDescent="0.2">
      <c r="A81" s="33">
        <f t="shared" si="1"/>
        <v>77</v>
      </c>
      <c r="B81" s="78" t="s">
        <v>1563</v>
      </c>
      <c r="C81" s="172" t="s">
        <v>250</v>
      </c>
      <c r="D81" s="14"/>
      <c r="E81" s="79" t="s">
        <v>786</v>
      </c>
      <c r="F81" s="72" t="s">
        <v>1706</v>
      </c>
      <c r="G81" s="72" t="s">
        <v>1719</v>
      </c>
    </row>
    <row r="82" spans="1:7" ht="38.25" x14ac:dyDescent="0.2">
      <c r="A82" s="33">
        <f t="shared" si="1"/>
        <v>78</v>
      </c>
      <c r="B82" s="78" t="s">
        <v>745</v>
      </c>
      <c r="C82" s="14" t="s">
        <v>250</v>
      </c>
      <c r="D82" s="14"/>
      <c r="E82" s="79" t="s">
        <v>1578</v>
      </c>
      <c r="F82" s="72" t="s">
        <v>1706</v>
      </c>
      <c r="G82" s="72" t="s">
        <v>1720</v>
      </c>
    </row>
    <row r="83" spans="1:7" ht="38.25" x14ac:dyDescent="0.2">
      <c r="A83" s="33">
        <f t="shared" si="1"/>
        <v>79</v>
      </c>
      <c r="B83" s="78" t="s">
        <v>746</v>
      </c>
      <c r="C83" s="14" t="s">
        <v>248</v>
      </c>
      <c r="D83" s="14"/>
      <c r="E83" s="79" t="s">
        <v>789</v>
      </c>
      <c r="F83" s="72" t="s">
        <v>1711</v>
      </c>
      <c r="G83" s="72" t="s">
        <v>1721</v>
      </c>
    </row>
    <row r="84" spans="1:7" ht="38.25" x14ac:dyDescent="0.2">
      <c r="A84" s="33">
        <f t="shared" si="1"/>
        <v>80</v>
      </c>
      <c r="B84" s="78" t="s">
        <v>747</v>
      </c>
      <c r="C84" s="172" t="s">
        <v>250</v>
      </c>
      <c r="D84" s="14"/>
      <c r="E84" s="79" t="s">
        <v>790</v>
      </c>
      <c r="F84" s="72" t="s">
        <v>1706</v>
      </c>
      <c r="G84" s="72" t="s">
        <v>1722</v>
      </c>
    </row>
    <row r="85" spans="1:7" ht="63.75" x14ac:dyDescent="0.2">
      <c r="A85" s="33">
        <f t="shared" si="1"/>
        <v>81</v>
      </c>
      <c r="B85" s="78" t="s">
        <v>1564</v>
      </c>
      <c r="C85" s="172" t="s">
        <v>250</v>
      </c>
      <c r="D85" s="14"/>
      <c r="E85" s="79" t="s">
        <v>1578</v>
      </c>
      <c r="F85" s="72" t="s">
        <v>1706</v>
      </c>
      <c r="G85" s="72" t="s">
        <v>1723</v>
      </c>
    </row>
    <row r="86" spans="1:7" ht="38.25" x14ac:dyDescent="0.2">
      <c r="A86" s="33">
        <f t="shared" si="1"/>
        <v>82</v>
      </c>
      <c r="B86" s="78" t="s">
        <v>749</v>
      </c>
      <c r="C86" s="172" t="s">
        <v>250</v>
      </c>
      <c r="D86" s="14"/>
      <c r="E86" s="79" t="s">
        <v>1578</v>
      </c>
      <c r="F86" s="72" t="s">
        <v>1706</v>
      </c>
      <c r="G86" s="72" t="s">
        <v>1724</v>
      </c>
    </row>
    <row r="87" spans="1:7" ht="51" x14ac:dyDescent="0.2">
      <c r="A87" s="33">
        <f t="shared" si="1"/>
        <v>83</v>
      </c>
      <c r="B87" s="78" t="s">
        <v>750</v>
      </c>
      <c r="C87" s="14" t="s">
        <v>248</v>
      </c>
      <c r="D87" s="14"/>
      <c r="E87" s="79" t="s">
        <v>788</v>
      </c>
      <c r="F87" s="72" t="s">
        <v>1706</v>
      </c>
      <c r="G87" s="72" t="s">
        <v>1725</v>
      </c>
    </row>
    <row r="88" spans="1:7" ht="25.5" x14ac:dyDescent="0.2">
      <c r="A88" s="33">
        <f t="shared" si="1"/>
        <v>84</v>
      </c>
      <c r="B88" s="78" t="s">
        <v>751</v>
      </c>
      <c r="C88" s="14" t="s">
        <v>248</v>
      </c>
      <c r="D88" s="14"/>
      <c r="E88" s="79" t="s">
        <v>1578</v>
      </c>
      <c r="F88" s="72" t="s">
        <v>1705</v>
      </c>
      <c r="G88" s="72" t="s">
        <v>1718</v>
      </c>
    </row>
  </sheetData>
  <mergeCells count="2">
    <mergeCell ref="C1:D1"/>
    <mergeCell ref="C2:D2"/>
  </mergeCells>
  <dataValidations count="2">
    <dataValidation type="list" allowBlank="1" showInputMessage="1" showErrorMessage="1" sqref="C77:C80 C82:C83 C87:C88 C10:C19 C69:C75 C57 C60:C62 C21:C48 C5:C8 C50:C54">
      <formula1>#REF!</formula1>
    </dataValidation>
    <dataValidation type="list" allowBlank="1" showInputMessage="1" showErrorMessage="1" sqref="C55">
      <formula1>#REF!</formula1>
    </dataValidation>
  </dataValidations>
  <pageMargins left="0.2" right="0.2" top="0.75" bottom="0.75" header="0.3" footer="0.3"/>
  <pageSetup paperSize="5" scale="93"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'[5]Drop Down Options'!#REF!</xm:f>
          </x14:formula1>
          <xm:sqref>C49 C58:C59 C63:C68 C56</xm:sqref>
        </x14:dataValidation>
        <x14:dataValidation type="list" allowBlank="1" showInputMessage="1" showErrorMessage="1">
          <x14:formula1>
            <xm:f>'[7]Drop Down Options'!#REF!</xm:f>
          </x14:formula1>
          <xm:sqref>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topLeftCell="A31" workbookViewId="0">
      <selection activeCell="A53" sqref="A53"/>
    </sheetView>
  </sheetViews>
  <sheetFormatPr defaultColWidth="9.140625" defaultRowHeight="12.75" x14ac:dyDescent="0.2"/>
  <cols>
    <col min="1" max="1" width="40.28515625" style="31" customWidth="1"/>
    <col min="2" max="2" width="24.5703125" style="31" customWidth="1"/>
    <col min="3" max="3" width="9.140625" style="31" bestFit="1" customWidth="1"/>
    <col min="4" max="4" width="18.7109375" style="36" customWidth="1"/>
    <col min="5" max="5" width="22" style="31" customWidth="1"/>
    <col min="6" max="6" width="24.28515625" style="31" customWidth="1"/>
    <col min="7" max="7" width="28.5703125" style="31" customWidth="1"/>
    <col min="8" max="8" width="24.85546875" style="31" customWidth="1"/>
    <col min="9" max="16384" width="9.140625" style="31"/>
  </cols>
  <sheetData>
    <row r="1" spans="1:8" x14ac:dyDescent="0.2">
      <c r="A1" s="1" t="s">
        <v>0</v>
      </c>
      <c r="B1" s="324" t="s">
        <v>806</v>
      </c>
      <c r="C1" s="322"/>
      <c r="D1" s="322"/>
    </row>
    <row r="2" spans="1:8" x14ac:dyDescent="0.2">
      <c r="A2" s="1" t="s">
        <v>1</v>
      </c>
      <c r="B2" s="323">
        <v>43210</v>
      </c>
      <c r="C2" s="323"/>
      <c r="D2" s="323"/>
    </row>
    <row r="3" spans="1:8" x14ac:dyDescent="0.2">
      <c r="A3" s="11" t="s">
        <v>21</v>
      </c>
      <c r="B3" s="2"/>
      <c r="C3" s="2"/>
    </row>
    <row r="4" spans="1:8" ht="63.75" x14ac:dyDescent="0.2">
      <c r="A4" s="3" t="s">
        <v>145</v>
      </c>
      <c r="B4" s="62" t="s">
        <v>644</v>
      </c>
      <c r="C4" s="49"/>
    </row>
    <row r="6" spans="1:8" ht="77.25" thickBot="1" x14ac:dyDescent="0.25">
      <c r="A6" s="37" t="s">
        <v>24</v>
      </c>
      <c r="B6" s="37" t="s">
        <v>252</v>
      </c>
      <c r="C6" s="37" t="s">
        <v>130</v>
      </c>
      <c r="D6" s="39" t="s">
        <v>264</v>
      </c>
      <c r="E6" s="37" t="s">
        <v>253</v>
      </c>
      <c r="F6" s="37" t="s">
        <v>254</v>
      </c>
      <c r="G6" s="37" t="s">
        <v>276</v>
      </c>
      <c r="H6" s="38" t="s">
        <v>277</v>
      </c>
    </row>
    <row r="7" spans="1:8" ht="13.9" customHeight="1" x14ac:dyDescent="0.2">
      <c r="A7" s="325" t="s">
        <v>645</v>
      </c>
      <c r="B7" s="328" t="s">
        <v>668</v>
      </c>
      <c r="C7" s="19" t="s">
        <v>127</v>
      </c>
      <c r="D7" s="40">
        <v>0.08</v>
      </c>
      <c r="E7" s="20" t="s">
        <v>15</v>
      </c>
      <c r="F7" s="20" t="s">
        <v>15</v>
      </c>
      <c r="G7" s="20" t="s">
        <v>14</v>
      </c>
      <c r="H7" s="17" t="s">
        <v>261</v>
      </c>
    </row>
    <row r="8" spans="1:8" x14ac:dyDescent="0.2">
      <c r="A8" s="326"/>
      <c r="B8" s="329"/>
      <c r="C8" s="21" t="s">
        <v>128</v>
      </c>
      <c r="D8" s="41">
        <v>0.2142</v>
      </c>
      <c r="E8" s="34" t="s">
        <v>15</v>
      </c>
      <c r="F8" s="22" t="s">
        <v>15</v>
      </c>
      <c r="G8" s="34" t="s">
        <v>14</v>
      </c>
      <c r="H8" s="14" t="s">
        <v>261</v>
      </c>
    </row>
    <row r="9" spans="1:8" ht="55.5" customHeight="1" thickBot="1" x14ac:dyDescent="0.25">
      <c r="A9" s="327"/>
      <c r="B9" s="330"/>
      <c r="C9" s="23" t="s">
        <v>129</v>
      </c>
      <c r="D9" s="42">
        <v>0.1132</v>
      </c>
      <c r="E9" s="34" t="s">
        <v>15</v>
      </c>
      <c r="F9" s="34" t="s">
        <v>15</v>
      </c>
      <c r="G9" s="34" t="s">
        <v>14</v>
      </c>
      <c r="H9" s="35" t="s">
        <v>261</v>
      </c>
    </row>
    <row r="10" spans="1:8" x14ac:dyDescent="0.2">
      <c r="A10" s="331" t="s">
        <v>646</v>
      </c>
      <c r="B10" s="334" t="s">
        <v>669</v>
      </c>
      <c r="C10" s="16" t="s">
        <v>127</v>
      </c>
      <c r="D10" s="43">
        <v>0.16669999999999999</v>
      </c>
      <c r="E10" s="17" t="s">
        <v>15</v>
      </c>
      <c r="F10" s="17" t="s">
        <v>15</v>
      </c>
      <c r="G10" s="17" t="s">
        <v>15</v>
      </c>
      <c r="H10" s="17" t="s">
        <v>262</v>
      </c>
    </row>
    <row r="11" spans="1:8" s="27" customFormat="1" x14ac:dyDescent="0.2">
      <c r="A11" s="332"/>
      <c r="B11" s="335"/>
      <c r="C11" s="26" t="s">
        <v>128</v>
      </c>
      <c r="D11" s="44">
        <v>7.6899999999999996E-2</v>
      </c>
      <c r="E11" s="35" t="s">
        <v>15</v>
      </c>
      <c r="F11" s="14" t="s">
        <v>15</v>
      </c>
      <c r="G11" s="35" t="s">
        <v>15</v>
      </c>
      <c r="H11" s="14" t="s">
        <v>262</v>
      </c>
    </row>
    <row r="12" spans="1:8" s="27" customFormat="1" ht="67.900000000000006" customHeight="1" thickBot="1" x14ac:dyDescent="0.25">
      <c r="A12" s="333"/>
      <c r="B12" s="336"/>
      <c r="C12" s="28" t="s">
        <v>129</v>
      </c>
      <c r="D12" s="45">
        <v>0.129</v>
      </c>
      <c r="E12" s="35" t="s">
        <v>15</v>
      </c>
      <c r="F12" s="35" t="s">
        <v>15</v>
      </c>
      <c r="G12" s="35" t="s">
        <v>15</v>
      </c>
      <c r="H12" s="35" t="s">
        <v>262</v>
      </c>
    </row>
    <row r="13" spans="1:8" s="27" customFormat="1" ht="13.9" customHeight="1" x14ac:dyDescent="0.2">
      <c r="A13" s="328" t="s">
        <v>647</v>
      </c>
      <c r="B13" s="328" t="s">
        <v>670</v>
      </c>
      <c r="C13" s="19" t="s">
        <v>127</v>
      </c>
      <c r="D13" s="40">
        <v>0.2414</v>
      </c>
      <c r="E13" s="20" t="s">
        <v>15</v>
      </c>
      <c r="F13" s="20" t="s">
        <v>15</v>
      </c>
      <c r="G13" s="20" t="s">
        <v>14</v>
      </c>
      <c r="H13" s="20" t="s">
        <v>261</v>
      </c>
    </row>
    <row r="14" spans="1:8" s="27" customFormat="1" x14ac:dyDescent="0.2">
      <c r="A14" s="329"/>
      <c r="B14" s="329"/>
      <c r="C14" s="21" t="s">
        <v>128</v>
      </c>
      <c r="D14" s="41">
        <v>0.33889999999999998</v>
      </c>
      <c r="E14" s="34" t="s">
        <v>15</v>
      </c>
      <c r="F14" s="22" t="s">
        <v>15</v>
      </c>
      <c r="G14" s="34" t="s">
        <v>14</v>
      </c>
      <c r="H14" s="22" t="s">
        <v>261</v>
      </c>
    </row>
    <row r="15" spans="1:8" s="27" customFormat="1" ht="81.75" customHeight="1" thickBot="1" x14ac:dyDescent="0.25">
      <c r="A15" s="330"/>
      <c r="B15" s="330"/>
      <c r="C15" s="23" t="s">
        <v>129</v>
      </c>
      <c r="D15" s="42">
        <v>0.15870000000000001</v>
      </c>
      <c r="E15" s="34" t="s">
        <v>15</v>
      </c>
      <c r="F15" s="34" t="s">
        <v>15</v>
      </c>
      <c r="G15" s="34" t="s">
        <v>14</v>
      </c>
      <c r="H15" s="34" t="s">
        <v>261</v>
      </c>
    </row>
    <row r="16" spans="1:8" s="27" customFormat="1" ht="13.9" customHeight="1" x14ac:dyDescent="0.2">
      <c r="A16" s="334" t="s">
        <v>676</v>
      </c>
      <c r="B16" s="334" t="s">
        <v>677</v>
      </c>
      <c r="C16" s="29" t="s">
        <v>127</v>
      </c>
      <c r="D16" s="43">
        <v>9.3799999999999994E-2</v>
      </c>
      <c r="E16" s="17" t="s">
        <v>15</v>
      </c>
      <c r="F16" s="17" t="s">
        <v>15</v>
      </c>
      <c r="G16" s="17" t="s">
        <v>14</v>
      </c>
      <c r="H16" s="17" t="s">
        <v>260</v>
      </c>
    </row>
    <row r="17" spans="1:8" s="27" customFormat="1" x14ac:dyDescent="0.2">
      <c r="A17" s="335"/>
      <c r="B17" s="335"/>
      <c r="C17" s="26" t="s">
        <v>128</v>
      </c>
      <c r="D17" s="73">
        <v>0.23880000000000001</v>
      </c>
      <c r="E17" s="35" t="s">
        <v>15</v>
      </c>
      <c r="F17" s="14" t="s">
        <v>15</v>
      </c>
      <c r="G17" s="35" t="s">
        <v>14</v>
      </c>
      <c r="H17" s="14" t="s">
        <v>260</v>
      </c>
    </row>
    <row r="18" spans="1:8" ht="53.45" customHeight="1" thickBot="1" x14ac:dyDescent="0.25">
      <c r="A18" s="336"/>
      <c r="B18" s="336"/>
      <c r="C18" s="18" t="s">
        <v>129</v>
      </c>
      <c r="D18" s="73">
        <v>0.16900000000000001</v>
      </c>
      <c r="E18" s="35" t="s">
        <v>14</v>
      </c>
      <c r="F18" s="35" t="s">
        <v>14</v>
      </c>
      <c r="G18" s="35" t="s">
        <v>14</v>
      </c>
      <c r="H18" s="35" t="s">
        <v>260</v>
      </c>
    </row>
    <row r="19" spans="1:8" ht="13.5" thickBot="1" x14ac:dyDescent="0.25">
      <c r="A19" s="325" t="s">
        <v>678</v>
      </c>
      <c r="B19" s="325" t="s">
        <v>679</v>
      </c>
      <c r="C19" s="74" t="s">
        <v>127</v>
      </c>
      <c r="D19" s="75">
        <v>7.4099999999999999E-2</v>
      </c>
      <c r="E19" s="20" t="s">
        <v>15</v>
      </c>
      <c r="F19" s="20" t="s">
        <v>15</v>
      </c>
      <c r="G19" s="20" t="s">
        <v>15</v>
      </c>
      <c r="H19" s="34" t="s">
        <v>261</v>
      </c>
    </row>
    <row r="20" spans="1:8" ht="13.5" thickBot="1" x14ac:dyDescent="0.25">
      <c r="A20" s="326"/>
      <c r="B20" s="326"/>
      <c r="C20" s="21" t="s">
        <v>128</v>
      </c>
      <c r="D20" s="41">
        <v>1</v>
      </c>
      <c r="E20" s="34" t="s">
        <v>15</v>
      </c>
      <c r="F20" s="22" t="s">
        <v>15</v>
      </c>
      <c r="G20" s="20" t="s">
        <v>15</v>
      </c>
      <c r="H20" s="34" t="s">
        <v>261</v>
      </c>
    </row>
    <row r="21" spans="1:8" ht="40.9" customHeight="1" thickBot="1" x14ac:dyDescent="0.25">
      <c r="A21" s="327"/>
      <c r="B21" s="327"/>
      <c r="C21" s="23" t="s">
        <v>129</v>
      </c>
      <c r="D21" s="42">
        <v>0</v>
      </c>
      <c r="E21" s="34" t="s">
        <v>15</v>
      </c>
      <c r="F21" s="22" t="s">
        <v>15</v>
      </c>
      <c r="G21" s="20" t="s">
        <v>15</v>
      </c>
      <c r="H21" s="34" t="s">
        <v>261</v>
      </c>
    </row>
    <row r="22" spans="1:8" ht="13.9" customHeight="1" x14ac:dyDescent="0.2">
      <c r="A22" s="328" t="s">
        <v>648</v>
      </c>
      <c r="B22" s="328" t="s">
        <v>651</v>
      </c>
      <c r="C22" s="19" t="s">
        <v>127</v>
      </c>
      <c r="D22" s="40">
        <v>0.13980000000000001</v>
      </c>
      <c r="E22" s="20" t="s">
        <v>15</v>
      </c>
      <c r="F22" s="20" t="s">
        <v>15</v>
      </c>
      <c r="G22" s="20" t="s">
        <v>14</v>
      </c>
      <c r="H22" s="20" t="s">
        <v>260</v>
      </c>
    </row>
    <row r="23" spans="1:8" x14ac:dyDescent="0.2">
      <c r="A23" s="329"/>
      <c r="B23" s="329"/>
      <c r="C23" s="21" t="s">
        <v>128</v>
      </c>
      <c r="D23" s="41">
        <v>0.19089999999999999</v>
      </c>
      <c r="E23" s="34" t="s">
        <v>15</v>
      </c>
      <c r="F23" s="22" t="s">
        <v>15</v>
      </c>
      <c r="G23" s="34" t="s">
        <v>14</v>
      </c>
      <c r="H23" s="22" t="s">
        <v>260</v>
      </c>
    </row>
    <row r="24" spans="1:8" ht="31.15" customHeight="1" thickBot="1" x14ac:dyDescent="0.25">
      <c r="A24" s="330"/>
      <c r="B24" s="330"/>
      <c r="C24" s="24" t="s">
        <v>129</v>
      </c>
      <c r="D24" s="47">
        <v>0.22969999999999999</v>
      </c>
      <c r="E24" s="34" t="s">
        <v>15</v>
      </c>
      <c r="F24" s="34" t="s">
        <v>15</v>
      </c>
      <c r="G24" s="34" t="s">
        <v>14</v>
      </c>
      <c r="H24" s="34" t="s">
        <v>260</v>
      </c>
    </row>
    <row r="25" spans="1:8" ht="13.9" customHeight="1" thickBot="1" x14ac:dyDescent="0.25">
      <c r="A25" s="334" t="s">
        <v>649</v>
      </c>
      <c r="B25" s="334" t="s">
        <v>652</v>
      </c>
      <c r="C25" s="29" t="s">
        <v>127</v>
      </c>
      <c r="D25" s="46">
        <v>0.1038</v>
      </c>
      <c r="E25" s="17" t="s">
        <v>15</v>
      </c>
      <c r="F25" s="17" t="s">
        <v>15</v>
      </c>
      <c r="G25" s="17" t="s">
        <v>14</v>
      </c>
      <c r="H25" s="17" t="s">
        <v>261</v>
      </c>
    </row>
    <row r="26" spans="1:8" ht="13.5" thickBot="1" x14ac:dyDescent="0.25">
      <c r="A26" s="335"/>
      <c r="B26" s="335"/>
      <c r="C26" s="26" t="s">
        <v>128</v>
      </c>
      <c r="D26" s="44">
        <v>0.1857</v>
      </c>
      <c r="E26" s="17" t="s">
        <v>15</v>
      </c>
      <c r="F26" s="17" t="s">
        <v>15</v>
      </c>
      <c r="G26" s="35" t="s">
        <v>14</v>
      </c>
      <c r="H26" s="17" t="s">
        <v>261</v>
      </c>
    </row>
    <row r="27" spans="1:8" ht="27.6" customHeight="1" thickBot="1" x14ac:dyDescent="0.25">
      <c r="A27" s="336"/>
      <c r="B27" s="336"/>
      <c r="C27" s="32" t="s">
        <v>129</v>
      </c>
      <c r="D27" s="48">
        <v>0.1459</v>
      </c>
      <c r="E27" s="17" t="s">
        <v>15</v>
      </c>
      <c r="F27" s="17" t="s">
        <v>15</v>
      </c>
      <c r="G27" s="35" t="s">
        <v>14</v>
      </c>
      <c r="H27" s="17" t="s">
        <v>261</v>
      </c>
    </row>
    <row r="28" spans="1:8" ht="13.9" customHeight="1" x14ac:dyDescent="0.2">
      <c r="A28" s="328" t="s">
        <v>650</v>
      </c>
      <c r="B28" s="328" t="s">
        <v>653</v>
      </c>
      <c r="C28" s="19" t="s">
        <v>127</v>
      </c>
      <c r="D28" s="40">
        <v>0.19700000000000001</v>
      </c>
      <c r="E28" s="20" t="s">
        <v>15</v>
      </c>
      <c r="F28" s="20" t="s">
        <v>15</v>
      </c>
      <c r="G28" s="20" t="s">
        <v>14</v>
      </c>
      <c r="H28" s="20" t="s">
        <v>261</v>
      </c>
    </row>
    <row r="29" spans="1:8" x14ac:dyDescent="0.2">
      <c r="A29" s="329"/>
      <c r="B29" s="329"/>
      <c r="C29" s="21" t="s">
        <v>128</v>
      </c>
      <c r="D29" s="41">
        <v>0.16669999999999999</v>
      </c>
      <c r="E29" s="34" t="s">
        <v>15</v>
      </c>
      <c r="F29" s="22" t="s">
        <v>15</v>
      </c>
      <c r="G29" s="34" t="s">
        <v>14</v>
      </c>
      <c r="H29" s="22" t="s">
        <v>261</v>
      </c>
    </row>
    <row r="30" spans="1:8" ht="30.6" customHeight="1" thickBot="1" x14ac:dyDescent="0.25">
      <c r="A30" s="330"/>
      <c r="B30" s="330"/>
      <c r="C30" s="24" t="s">
        <v>129</v>
      </c>
      <c r="D30" s="47">
        <v>0.106</v>
      </c>
      <c r="E30" s="34" t="s">
        <v>15</v>
      </c>
      <c r="F30" s="34" t="s">
        <v>15</v>
      </c>
      <c r="G30" s="34" t="s">
        <v>14</v>
      </c>
      <c r="H30" s="34" t="s">
        <v>261</v>
      </c>
    </row>
    <row r="31" spans="1:8" ht="13.9" customHeight="1" x14ac:dyDescent="0.2">
      <c r="A31" s="334" t="s">
        <v>671</v>
      </c>
      <c r="B31" s="331" t="s">
        <v>667</v>
      </c>
      <c r="C31" s="29" t="s">
        <v>127</v>
      </c>
      <c r="D31" s="46">
        <v>0.1333</v>
      </c>
      <c r="E31" s="17" t="s">
        <v>15</v>
      </c>
      <c r="F31" s="17" t="s">
        <v>15</v>
      </c>
      <c r="G31" s="17" t="s">
        <v>14</v>
      </c>
      <c r="H31" s="17" t="s">
        <v>260</v>
      </c>
    </row>
    <row r="32" spans="1:8" x14ac:dyDescent="0.2">
      <c r="A32" s="335"/>
      <c r="B32" s="332"/>
      <c r="C32" s="26" t="s">
        <v>128</v>
      </c>
      <c r="D32" s="44">
        <v>9.5200000000000007E-2</v>
      </c>
      <c r="E32" s="35" t="s">
        <v>15</v>
      </c>
      <c r="F32" s="14" t="s">
        <v>15</v>
      </c>
      <c r="G32" s="35" t="s">
        <v>14</v>
      </c>
      <c r="H32" s="14" t="s">
        <v>260</v>
      </c>
    </row>
    <row r="33" spans="1:8" ht="35.450000000000003" customHeight="1" thickBot="1" x14ac:dyDescent="0.25">
      <c r="A33" s="336"/>
      <c r="B33" s="333"/>
      <c r="C33" s="32" t="s">
        <v>129</v>
      </c>
      <c r="D33" s="48">
        <v>0</v>
      </c>
      <c r="E33" s="35" t="s">
        <v>15</v>
      </c>
      <c r="F33" s="35" t="s">
        <v>15</v>
      </c>
      <c r="G33" s="35" t="s">
        <v>14</v>
      </c>
      <c r="H33" s="35" t="s">
        <v>260</v>
      </c>
    </row>
    <row r="34" spans="1:8" x14ac:dyDescent="0.2">
      <c r="A34" s="328" t="s">
        <v>672</v>
      </c>
      <c r="B34" s="328" t="s">
        <v>654</v>
      </c>
      <c r="C34" s="19" t="s">
        <v>127</v>
      </c>
      <c r="D34" s="40">
        <v>0.1062</v>
      </c>
      <c r="E34" s="20" t="s">
        <v>15</v>
      </c>
      <c r="F34" s="20" t="s">
        <v>15</v>
      </c>
      <c r="G34" s="20" t="s">
        <v>14</v>
      </c>
      <c r="H34" s="20" t="s">
        <v>260</v>
      </c>
    </row>
    <row r="35" spans="1:8" x14ac:dyDescent="0.2">
      <c r="A35" s="329"/>
      <c r="B35" s="329"/>
      <c r="C35" s="21" t="s">
        <v>128</v>
      </c>
      <c r="D35" s="41">
        <v>5.3600000000000002E-2</v>
      </c>
      <c r="E35" s="34" t="s">
        <v>15</v>
      </c>
      <c r="F35" s="22" t="s">
        <v>15</v>
      </c>
      <c r="G35" s="34" t="s">
        <v>14</v>
      </c>
      <c r="H35" s="22" t="s">
        <v>260</v>
      </c>
    </row>
    <row r="36" spans="1:8" ht="36" customHeight="1" x14ac:dyDescent="0.2">
      <c r="A36" s="337"/>
      <c r="B36" s="337"/>
      <c r="C36" s="21" t="s">
        <v>129</v>
      </c>
      <c r="D36" s="41">
        <v>0.1391</v>
      </c>
      <c r="E36" s="22" t="s">
        <v>15</v>
      </c>
      <c r="F36" s="22" t="s">
        <v>15</v>
      </c>
      <c r="G36" s="22" t="s">
        <v>14</v>
      </c>
      <c r="H36" s="22" t="s">
        <v>260</v>
      </c>
    </row>
    <row r="37" spans="1:8" x14ac:dyDescent="0.2">
      <c r="A37" s="49"/>
      <c r="B37" s="49"/>
      <c r="C37" s="63"/>
      <c r="D37" s="64"/>
      <c r="E37" s="71"/>
      <c r="F37" s="71"/>
      <c r="G37" s="71"/>
      <c r="H37" s="71"/>
    </row>
    <row r="38" spans="1:8" x14ac:dyDescent="0.2">
      <c r="A38" s="65" t="s">
        <v>655</v>
      </c>
      <c r="C38" s="66"/>
    </row>
    <row r="41" spans="1:8" x14ac:dyDescent="0.2">
      <c r="F41" s="49"/>
    </row>
    <row r="42" spans="1:8" x14ac:dyDescent="0.2">
      <c r="F42" s="49"/>
    </row>
    <row r="43" spans="1:8" x14ac:dyDescent="0.2">
      <c r="F43" s="49"/>
    </row>
    <row r="44" spans="1:8" x14ac:dyDescent="0.2">
      <c r="F44" s="49"/>
    </row>
    <row r="45" spans="1:8" ht="13.5" thickBot="1" x14ac:dyDescent="0.25">
      <c r="F45" s="49"/>
    </row>
    <row r="46" spans="1:8" ht="51.75" thickBot="1" x14ac:dyDescent="0.25">
      <c r="A46" s="67" t="s">
        <v>24</v>
      </c>
      <c r="B46" s="67" t="s">
        <v>673</v>
      </c>
      <c r="C46" s="67" t="s">
        <v>656</v>
      </c>
      <c r="D46" s="67" t="s">
        <v>665</v>
      </c>
      <c r="E46" s="67" t="s">
        <v>666</v>
      </c>
      <c r="F46" s="67" t="s">
        <v>674</v>
      </c>
      <c r="G46" s="67" t="s">
        <v>675</v>
      </c>
    </row>
    <row r="47" spans="1:8" ht="13.5" thickBot="1" x14ac:dyDescent="0.25">
      <c r="A47" s="68" t="s">
        <v>657</v>
      </c>
      <c r="B47" s="69">
        <v>4.1700000000000001E-2</v>
      </c>
      <c r="C47" s="70">
        <v>0.08</v>
      </c>
      <c r="D47" s="69">
        <v>0.14810000000000001</v>
      </c>
      <c r="E47" s="70">
        <v>0.2142</v>
      </c>
      <c r="F47" s="69">
        <v>0.1154</v>
      </c>
      <c r="G47" s="69">
        <v>0.1132</v>
      </c>
    </row>
    <row r="48" spans="1:8" ht="13.5" thickBot="1" x14ac:dyDescent="0.25">
      <c r="A48" s="68" t="s">
        <v>658</v>
      </c>
      <c r="B48" s="69">
        <v>0.16669999999999999</v>
      </c>
      <c r="C48" s="69">
        <v>0.16669999999999999</v>
      </c>
      <c r="D48" s="69">
        <v>7.6899999999999996E-2</v>
      </c>
      <c r="E48" s="69">
        <v>7.6899999999999996E-2</v>
      </c>
      <c r="F48" s="69">
        <v>0.129</v>
      </c>
      <c r="G48" s="69">
        <v>0.129</v>
      </c>
    </row>
    <row r="49" spans="1:7" ht="13.5" thickBot="1" x14ac:dyDescent="0.25">
      <c r="A49" s="68" t="s">
        <v>659</v>
      </c>
      <c r="B49" s="69">
        <v>0.1333</v>
      </c>
      <c r="C49" s="69">
        <v>0.2414</v>
      </c>
      <c r="D49" s="69">
        <v>0.125</v>
      </c>
      <c r="E49" s="69">
        <v>0.33889999999999998</v>
      </c>
      <c r="F49" s="69">
        <v>3.5700000000000003E-2</v>
      </c>
      <c r="G49" s="69">
        <v>0.15870000000000001</v>
      </c>
    </row>
    <row r="50" spans="1:7" ht="13.5" thickBot="1" x14ac:dyDescent="0.25">
      <c r="A50" s="68" t="s">
        <v>681</v>
      </c>
      <c r="B50" s="76">
        <v>0.1111</v>
      </c>
      <c r="C50" s="76">
        <v>9.3799999999999994E-2</v>
      </c>
      <c r="D50" s="76">
        <v>0.17860000000000001</v>
      </c>
      <c r="E50" s="76">
        <v>0.23880000000000001</v>
      </c>
      <c r="F50" s="76">
        <v>0.13109999999999999</v>
      </c>
      <c r="G50" s="76">
        <v>0.16900000000000001</v>
      </c>
    </row>
    <row r="51" spans="1:7" ht="13.5" thickBot="1" x14ac:dyDescent="0.25">
      <c r="A51" s="68" t="s">
        <v>680</v>
      </c>
      <c r="B51" s="76">
        <v>0</v>
      </c>
      <c r="C51" s="76">
        <v>7.4099999999999999E-2</v>
      </c>
      <c r="D51" s="76">
        <v>1</v>
      </c>
      <c r="E51" s="76">
        <v>1</v>
      </c>
      <c r="F51" s="76">
        <v>0</v>
      </c>
      <c r="G51" s="76">
        <v>0</v>
      </c>
    </row>
    <row r="52" spans="1:7" ht="13.5" thickBot="1" x14ac:dyDescent="0.25">
      <c r="A52" s="68" t="s">
        <v>660</v>
      </c>
      <c r="B52" s="69">
        <v>0.21879999999999999</v>
      </c>
      <c r="C52" s="69">
        <v>0.13980000000000001</v>
      </c>
      <c r="D52" s="69">
        <v>0.14929999999999999</v>
      </c>
      <c r="E52" s="69">
        <v>0.19089999999999999</v>
      </c>
      <c r="F52" s="76">
        <v>0.1211</v>
      </c>
      <c r="G52" s="76">
        <v>0.22700000000000001</v>
      </c>
    </row>
    <row r="53" spans="1:7" ht="13.5" thickBot="1" x14ac:dyDescent="0.25">
      <c r="A53" s="68" t="s">
        <v>661</v>
      </c>
      <c r="B53" s="69">
        <v>8.7400000000000005E-2</v>
      </c>
      <c r="C53" s="69">
        <v>0.10829999999999999</v>
      </c>
      <c r="D53" s="69">
        <v>0.1203</v>
      </c>
      <c r="E53" s="69">
        <v>0.1857</v>
      </c>
      <c r="F53" s="69">
        <v>0.15090000000000001</v>
      </c>
      <c r="G53" s="69">
        <v>0.1459</v>
      </c>
    </row>
    <row r="54" spans="1:7" ht="13.5" thickBot="1" x14ac:dyDescent="0.25">
      <c r="A54" s="68" t="s">
        <v>662</v>
      </c>
      <c r="B54" s="69">
        <v>0.19670000000000001</v>
      </c>
      <c r="C54" s="69">
        <v>0.19700000000000001</v>
      </c>
      <c r="D54" s="69">
        <v>0.16259999999999999</v>
      </c>
      <c r="E54" s="69">
        <v>0.16669999999999999</v>
      </c>
      <c r="F54" s="69">
        <v>0.11020000000000001</v>
      </c>
      <c r="G54" s="69">
        <v>0.106</v>
      </c>
    </row>
    <row r="55" spans="1:7" ht="26.25" thickBot="1" x14ac:dyDescent="0.25">
      <c r="A55" s="68" t="s">
        <v>663</v>
      </c>
      <c r="B55" s="70">
        <v>0</v>
      </c>
      <c r="C55" s="69">
        <v>0.1333</v>
      </c>
      <c r="D55" s="70">
        <v>0.1</v>
      </c>
      <c r="E55" s="69">
        <v>9.5200000000000007E-2</v>
      </c>
      <c r="F55" s="70">
        <v>0</v>
      </c>
      <c r="G55" s="69">
        <v>0</v>
      </c>
    </row>
    <row r="56" spans="1:7" ht="13.5" thickBot="1" x14ac:dyDescent="0.25">
      <c r="A56" s="68" t="s">
        <v>664</v>
      </c>
      <c r="B56" s="69">
        <v>0.1062</v>
      </c>
      <c r="C56" s="69">
        <v>0.1062</v>
      </c>
      <c r="D56" s="69">
        <v>5.3600000000000002E-2</v>
      </c>
      <c r="E56" s="69">
        <v>5.3600000000000002E-2</v>
      </c>
      <c r="F56" s="69">
        <v>0.12280000000000001</v>
      </c>
      <c r="G56" s="69">
        <v>0.1391</v>
      </c>
    </row>
  </sheetData>
  <mergeCells count="22">
    <mergeCell ref="B34:B36"/>
    <mergeCell ref="A34:A36"/>
    <mergeCell ref="B22:B24"/>
    <mergeCell ref="B28:B30"/>
    <mergeCell ref="A28:A30"/>
    <mergeCell ref="A22:A24"/>
    <mergeCell ref="A16:A18"/>
    <mergeCell ref="B16:B18"/>
    <mergeCell ref="B25:B27"/>
    <mergeCell ref="A25:A27"/>
    <mergeCell ref="A31:A33"/>
    <mergeCell ref="B31:B33"/>
    <mergeCell ref="A19:A21"/>
    <mergeCell ref="B19:B21"/>
    <mergeCell ref="B1:D1"/>
    <mergeCell ref="B2:D2"/>
    <mergeCell ref="A7:A9"/>
    <mergeCell ref="B7:B9"/>
    <mergeCell ref="B13:B15"/>
    <mergeCell ref="A10:A12"/>
    <mergeCell ref="B10:B12"/>
    <mergeCell ref="A13:A15"/>
  </mergeCells>
  <pageMargins left="0.7" right="0.7" top="0.75" bottom="0.75" header="0.3" footer="0.3"/>
  <pageSetup paperSize="5" scale="85" fitToHeight="0" orientation="landscape" r:id="rId1"/>
  <headerFooter>
    <oddHeader>&amp;C&amp;"Arial,Bold"&amp;14&amp;UOrganizational Units
&amp;"Arial,Regular"&amp;12&amp;U(Study Step 1: Agency Legal Directives, Plan and Resources)</oddHeader>
    <oddFooter>&amp;RThe contents of this chart are considered sworn testimony from the Agency Director.</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'[8]Drop Down Options'!#REF!</xm:f>
          </x14:formula1>
          <xm:sqref>E7:E18 E22:E37</xm:sqref>
        </x14:dataValidation>
        <x14:dataValidation type="list" allowBlank="1" showInputMessage="1" showErrorMessage="1">
          <x14:formula1>
            <xm:f>'[8]Drop Down Options'!#REF!</xm:f>
          </x14:formula1>
          <xm:sqref>F7:H18 F22:H37</xm:sqref>
        </x14:dataValidation>
        <x14:dataValidation type="list" allowBlank="1" showInputMessage="1" showErrorMessage="1">
          <x14:formula1>
            <xm:f>'[9]Drop Down Options'!#REF!</xm:f>
          </x14:formula1>
          <xm:sqref>H19:H21</xm:sqref>
        </x14:dataValidation>
        <x14:dataValidation type="list" allowBlank="1" showInputMessage="1" showErrorMessage="1">
          <x14:formula1>
            <xm:f>'[9]Drop Down Options'!#REF!</xm:f>
          </x14:formula1>
          <xm:sqref>F19:G21</xm:sqref>
        </x14:dataValidation>
        <x14:dataValidation type="list" allowBlank="1" showInputMessage="1" showErrorMessage="1">
          <x14:formula1>
            <xm:f>'[9]Drop Down Options'!#REF!</xm:f>
          </x14:formula1>
          <xm:sqref>E19:E21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1"/>
  <sheetViews>
    <sheetView tabSelected="1" topLeftCell="A297" workbookViewId="0">
      <selection activeCell="C310" sqref="C310"/>
    </sheetView>
  </sheetViews>
  <sheetFormatPr defaultColWidth="9.140625" defaultRowHeight="12.75" x14ac:dyDescent="0.2"/>
  <cols>
    <col min="1" max="1" width="6.42578125" style="185" customWidth="1"/>
    <col min="2" max="2" width="75" style="186" customWidth="1"/>
    <col min="3" max="3" width="14.28515625" style="257" bestFit="1" customWidth="1"/>
    <col min="4" max="4" width="15" style="61" bestFit="1" customWidth="1"/>
    <col min="5" max="5" width="17" style="61" customWidth="1"/>
    <col min="6" max="10" width="16.140625" style="61" customWidth="1"/>
    <col min="11" max="11" width="18.140625" style="61" customWidth="1"/>
    <col min="12" max="32" width="16.140625" style="61" customWidth="1"/>
    <col min="33" max="33" width="16.28515625" style="186" customWidth="1"/>
    <col min="34" max="16384" width="9.140625" style="186"/>
  </cols>
  <sheetData>
    <row r="1" spans="1:33" s="181" customFormat="1" x14ac:dyDescent="0.2">
      <c r="A1" s="179"/>
      <c r="B1" s="180" t="s">
        <v>0</v>
      </c>
      <c r="C1" s="338" t="s">
        <v>806</v>
      </c>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row>
    <row r="2" spans="1:33" s="181" customFormat="1" x14ac:dyDescent="0.2">
      <c r="A2" s="179"/>
      <c r="B2" s="180" t="s">
        <v>1</v>
      </c>
      <c r="C2" s="340">
        <v>43210</v>
      </c>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row>
    <row r="3" spans="1:33" s="181" customFormat="1" x14ac:dyDescent="0.2">
      <c r="A3" s="179"/>
      <c r="B3" s="182"/>
      <c r="C3" s="183"/>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row>
    <row r="4" spans="1:33" ht="27.75" customHeight="1" x14ac:dyDescent="0.2">
      <c r="B4" s="341" t="s">
        <v>178</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row>
    <row r="5" spans="1:33" x14ac:dyDescent="0.2">
      <c r="A5" s="187" t="s">
        <v>35</v>
      </c>
      <c r="B5" s="258" t="s">
        <v>157</v>
      </c>
      <c r="C5" s="184"/>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row>
    <row r="6" spans="1:33" x14ac:dyDescent="0.2">
      <c r="A6" s="187"/>
      <c r="B6" s="2"/>
      <c r="C6" s="189"/>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row>
    <row r="7" spans="1:33" ht="13.5" thickBot="1" x14ac:dyDescent="0.25">
      <c r="A7" s="187"/>
      <c r="B7" s="259" t="s">
        <v>172</v>
      </c>
      <c r="C7" s="189"/>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row>
    <row r="8" spans="1:33" x14ac:dyDescent="0.2">
      <c r="B8" s="191" t="s">
        <v>206</v>
      </c>
      <c r="C8" s="192" t="s">
        <v>36</v>
      </c>
      <c r="D8" s="193" t="s">
        <v>164</v>
      </c>
      <c r="E8" s="193" t="s">
        <v>165</v>
      </c>
      <c r="F8" s="193" t="s">
        <v>166</v>
      </c>
      <c r="G8" s="193" t="s">
        <v>167</v>
      </c>
      <c r="H8" s="193" t="s">
        <v>993</v>
      </c>
      <c r="I8" s="193" t="s">
        <v>994</v>
      </c>
      <c r="J8" s="193" t="s">
        <v>995</v>
      </c>
      <c r="K8" s="193" t="s">
        <v>996</v>
      </c>
      <c r="L8" s="193" t="s">
        <v>997</v>
      </c>
      <c r="M8" s="193" t="s">
        <v>998</v>
      </c>
      <c r="N8" s="193" t="s">
        <v>999</v>
      </c>
      <c r="O8" s="193" t="s">
        <v>1000</v>
      </c>
      <c r="P8" s="193" t="s">
        <v>1001</v>
      </c>
      <c r="Q8" s="193" t="s">
        <v>1002</v>
      </c>
      <c r="R8" s="193" t="s">
        <v>1003</v>
      </c>
      <c r="S8" s="193" t="s">
        <v>1004</v>
      </c>
      <c r="T8" s="193" t="s">
        <v>1005</v>
      </c>
      <c r="U8" s="193" t="s">
        <v>1006</v>
      </c>
      <c r="V8" s="193" t="s">
        <v>1007</v>
      </c>
      <c r="W8" s="193" t="s">
        <v>1008</v>
      </c>
      <c r="X8" s="193" t="s">
        <v>1009</v>
      </c>
      <c r="Y8" s="193" t="s">
        <v>1010</v>
      </c>
      <c r="Z8" s="193" t="s">
        <v>1011</v>
      </c>
      <c r="AA8" s="193" t="s">
        <v>1012</v>
      </c>
      <c r="AB8" s="193" t="s">
        <v>1013</v>
      </c>
      <c r="AC8" s="193" t="s">
        <v>1014</v>
      </c>
      <c r="AD8" s="193" t="s">
        <v>1015</v>
      </c>
      <c r="AE8" s="193" t="s">
        <v>1016</v>
      </c>
      <c r="AF8" s="193" t="s">
        <v>1017</v>
      </c>
      <c r="AG8" s="193" t="s">
        <v>1018</v>
      </c>
    </row>
    <row r="9" spans="1:33" ht="63.75" x14ac:dyDescent="0.2">
      <c r="A9" s="179" t="s">
        <v>89</v>
      </c>
      <c r="B9" s="194" t="s">
        <v>207</v>
      </c>
      <c r="C9" s="195" t="s">
        <v>43</v>
      </c>
      <c r="D9" s="196" t="s">
        <v>1019</v>
      </c>
      <c r="E9" s="196" t="s">
        <v>1735</v>
      </c>
      <c r="F9" s="196" t="s">
        <v>1020</v>
      </c>
      <c r="G9" s="196" t="s">
        <v>1736</v>
      </c>
      <c r="H9" s="196" t="s">
        <v>1235</v>
      </c>
      <c r="I9" s="196" t="s">
        <v>1236</v>
      </c>
      <c r="J9" s="196" t="s">
        <v>1021</v>
      </c>
      <c r="K9" s="196" t="s">
        <v>1022</v>
      </c>
      <c r="L9" s="196" t="s">
        <v>1023</v>
      </c>
      <c r="M9" s="196" t="s">
        <v>1024</v>
      </c>
      <c r="N9" s="196" t="s">
        <v>1242</v>
      </c>
      <c r="O9" s="196" t="s">
        <v>1025</v>
      </c>
      <c r="P9" s="196" t="s">
        <v>1023</v>
      </c>
      <c r="Q9" s="196" t="s">
        <v>1026</v>
      </c>
      <c r="R9" s="196" t="s">
        <v>1027</v>
      </c>
      <c r="S9" s="196" t="s">
        <v>1243</v>
      </c>
      <c r="T9" s="196" t="s">
        <v>1028</v>
      </c>
      <c r="U9" s="196" t="s">
        <v>1246</v>
      </c>
      <c r="V9" s="196" t="s">
        <v>1029</v>
      </c>
      <c r="W9" s="196" t="s">
        <v>1248</v>
      </c>
      <c r="X9" s="196" t="s">
        <v>1249</v>
      </c>
      <c r="Y9" s="196" t="s">
        <v>1250</v>
      </c>
      <c r="Z9" s="196" t="s">
        <v>1251</v>
      </c>
      <c r="AA9" s="196" t="s">
        <v>1033</v>
      </c>
      <c r="AB9" s="196" t="s">
        <v>1034</v>
      </c>
      <c r="AC9" s="196" t="s">
        <v>1035</v>
      </c>
      <c r="AD9" s="196" t="s">
        <v>1036</v>
      </c>
      <c r="AE9" s="196" t="s">
        <v>1037</v>
      </c>
      <c r="AF9" s="196" t="s">
        <v>1038</v>
      </c>
      <c r="AG9" s="196" t="s">
        <v>1039</v>
      </c>
    </row>
    <row r="10" spans="1:33" x14ac:dyDescent="0.2">
      <c r="A10" s="179" t="s">
        <v>90</v>
      </c>
      <c r="B10" s="194" t="s">
        <v>31</v>
      </c>
      <c r="C10" s="195" t="s">
        <v>43</v>
      </c>
      <c r="D10" s="196" t="s">
        <v>269</v>
      </c>
      <c r="E10" s="196" t="s">
        <v>270</v>
      </c>
      <c r="F10" s="196" t="s">
        <v>269</v>
      </c>
      <c r="G10" s="196" t="s">
        <v>269</v>
      </c>
      <c r="H10" s="196" t="s">
        <v>269</v>
      </c>
      <c r="I10" s="196" t="s">
        <v>269</v>
      </c>
      <c r="J10" s="196" t="s">
        <v>269</v>
      </c>
      <c r="K10" s="196" t="s">
        <v>269</v>
      </c>
      <c r="L10" s="196" t="s">
        <v>269</v>
      </c>
      <c r="M10" s="196" t="s">
        <v>269</v>
      </c>
      <c r="N10" s="196" t="s">
        <v>269</v>
      </c>
      <c r="O10" s="196" t="s">
        <v>270</v>
      </c>
      <c r="P10" s="196" t="s">
        <v>269</v>
      </c>
      <c r="Q10" s="196" t="s">
        <v>269</v>
      </c>
      <c r="R10" s="196" t="s">
        <v>269</v>
      </c>
      <c r="S10" s="196" t="s">
        <v>269</v>
      </c>
      <c r="T10" s="196" t="s">
        <v>269</v>
      </c>
      <c r="U10" s="196" t="s">
        <v>269</v>
      </c>
      <c r="V10" s="196" t="s">
        <v>269</v>
      </c>
      <c r="W10" s="196" t="s">
        <v>269</v>
      </c>
      <c r="X10" s="196" t="s">
        <v>269</v>
      </c>
      <c r="Y10" s="196" t="s">
        <v>270</v>
      </c>
      <c r="Z10" s="196" t="s">
        <v>269</v>
      </c>
      <c r="AA10" s="196" t="s">
        <v>269</v>
      </c>
      <c r="AB10" s="196" t="s">
        <v>269</v>
      </c>
      <c r="AC10" s="196" t="s">
        <v>270</v>
      </c>
      <c r="AD10" s="196" t="s">
        <v>270</v>
      </c>
      <c r="AE10" s="196" t="s">
        <v>270</v>
      </c>
      <c r="AF10" s="196" t="s">
        <v>270</v>
      </c>
      <c r="AG10" s="196" t="s">
        <v>270</v>
      </c>
    </row>
    <row r="11" spans="1:33" x14ac:dyDescent="0.2">
      <c r="A11" s="179" t="s">
        <v>91</v>
      </c>
      <c r="B11" s="194" t="s">
        <v>51</v>
      </c>
      <c r="C11" s="195" t="s">
        <v>43</v>
      </c>
      <c r="D11" s="196" t="s">
        <v>11</v>
      </c>
      <c r="E11" s="196" t="s">
        <v>11</v>
      </c>
      <c r="F11" s="196" t="s">
        <v>271</v>
      </c>
      <c r="G11" s="196" t="s">
        <v>271</v>
      </c>
      <c r="H11" s="196" t="s">
        <v>271</v>
      </c>
      <c r="I11" s="196" t="s">
        <v>271</v>
      </c>
      <c r="J11" s="196" t="s">
        <v>271</v>
      </c>
      <c r="K11" s="196" t="s">
        <v>271</v>
      </c>
      <c r="L11" s="196" t="s">
        <v>271</v>
      </c>
      <c r="M11" s="196" t="s">
        <v>271</v>
      </c>
      <c r="N11" s="196" t="s">
        <v>271</v>
      </c>
      <c r="O11" s="196" t="s">
        <v>271</v>
      </c>
      <c r="P11" s="196" t="s">
        <v>271</v>
      </c>
      <c r="Q11" s="196" t="s">
        <v>271</v>
      </c>
      <c r="R11" s="196" t="s">
        <v>271</v>
      </c>
      <c r="S11" s="196" t="s">
        <v>271</v>
      </c>
      <c r="T11" s="196" t="s">
        <v>271</v>
      </c>
      <c r="U11" s="196" t="s">
        <v>271</v>
      </c>
      <c r="V11" s="196" t="s">
        <v>271</v>
      </c>
      <c r="W11" s="196" t="s">
        <v>271</v>
      </c>
      <c r="X11" s="196" t="s">
        <v>271</v>
      </c>
      <c r="Y11" s="196" t="s">
        <v>271</v>
      </c>
      <c r="Z11" s="196" t="s">
        <v>271</v>
      </c>
      <c r="AA11" s="196" t="s">
        <v>271</v>
      </c>
      <c r="AB11" s="196" t="s">
        <v>271</v>
      </c>
      <c r="AC11" s="196" t="s">
        <v>12</v>
      </c>
      <c r="AD11" s="196" t="s">
        <v>12</v>
      </c>
      <c r="AE11" s="196" t="s">
        <v>12</v>
      </c>
      <c r="AF11" s="196" t="s">
        <v>12</v>
      </c>
      <c r="AG11" s="196" t="s">
        <v>12</v>
      </c>
    </row>
    <row r="12" spans="1:33" ht="76.5" x14ac:dyDescent="0.2">
      <c r="A12" s="197" t="s">
        <v>201</v>
      </c>
      <c r="B12" s="194" t="s">
        <v>180</v>
      </c>
      <c r="C12" s="195" t="s">
        <v>43</v>
      </c>
      <c r="D12" s="198" t="s">
        <v>1231</v>
      </c>
      <c r="E12" s="198" t="s">
        <v>1232</v>
      </c>
      <c r="F12" s="198" t="s">
        <v>1231</v>
      </c>
      <c r="G12" s="198" t="s">
        <v>1233</v>
      </c>
      <c r="H12" s="198" t="s">
        <v>1234</v>
      </c>
      <c r="I12" s="198" t="s">
        <v>1237</v>
      </c>
      <c r="J12" s="198" t="s">
        <v>1238</v>
      </c>
      <c r="K12" s="198" t="s">
        <v>1239</v>
      </c>
      <c r="L12" s="198" t="s">
        <v>1240</v>
      </c>
      <c r="M12" s="198" t="s">
        <v>1241</v>
      </c>
      <c r="N12" s="198" t="s">
        <v>1233</v>
      </c>
      <c r="O12" s="198" t="s">
        <v>1241</v>
      </c>
      <c r="P12" s="198" t="s">
        <v>1240</v>
      </c>
      <c r="Q12" s="198" t="s">
        <v>1233</v>
      </c>
      <c r="R12" s="198" t="s">
        <v>1240</v>
      </c>
      <c r="S12" s="198" t="s">
        <v>1244</v>
      </c>
      <c r="T12" s="198" t="s">
        <v>1245</v>
      </c>
      <c r="U12" s="198" t="s">
        <v>1247</v>
      </c>
      <c r="V12" s="198" t="s">
        <v>1244</v>
      </c>
      <c r="W12" s="198" t="s">
        <v>1233</v>
      </c>
      <c r="X12" s="198" t="s">
        <v>1233</v>
      </c>
      <c r="Y12" s="198" t="s">
        <v>1240</v>
      </c>
      <c r="Z12" s="198" t="s">
        <v>1233</v>
      </c>
      <c r="AA12" s="198" t="s">
        <v>1252</v>
      </c>
      <c r="AB12" s="198" t="s">
        <v>1233</v>
      </c>
      <c r="AC12" s="198" t="s">
        <v>1040</v>
      </c>
      <c r="AD12" s="198" t="s">
        <v>1231</v>
      </c>
      <c r="AE12" s="198" t="s">
        <v>1231</v>
      </c>
      <c r="AF12" s="198" t="s">
        <v>1231</v>
      </c>
      <c r="AG12" s="198" t="s">
        <v>1041</v>
      </c>
    </row>
    <row r="13" spans="1:33" ht="38.25" x14ac:dyDescent="0.2">
      <c r="A13" s="197" t="s">
        <v>202</v>
      </c>
      <c r="B13" s="194" t="s">
        <v>181</v>
      </c>
      <c r="C13" s="195" t="s">
        <v>43</v>
      </c>
      <c r="D13" s="198" t="s">
        <v>273</v>
      </c>
      <c r="E13" s="198" t="s">
        <v>273</v>
      </c>
      <c r="F13" s="198" t="s">
        <v>272</v>
      </c>
      <c r="G13" s="198" t="s">
        <v>272</v>
      </c>
      <c r="H13" s="198" t="s">
        <v>272</v>
      </c>
      <c r="I13" s="198" t="s">
        <v>272</v>
      </c>
      <c r="J13" s="198" t="s">
        <v>272</v>
      </c>
      <c r="K13" s="198" t="s">
        <v>272</v>
      </c>
      <c r="L13" s="198" t="s">
        <v>272</v>
      </c>
      <c r="M13" s="198" t="s">
        <v>272</v>
      </c>
      <c r="N13" s="198" t="s">
        <v>272</v>
      </c>
      <c r="O13" s="198" t="s">
        <v>272</v>
      </c>
      <c r="P13" s="198" t="s">
        <v>272</v>
      </c>
      <c r="Q13" s="198" t="s">
        <v>272</v>
      </c>
      <c r="R13" s="198" t="s">
        <v>272</v>
      </c>
      <c r="S13" s="198" t="s">
        <v>272</v>
      </c>
      <c r="T13" s="198" t="s">
        <v>272</v>
      </c>
      <c r="U13" s="198" t="s">
        <v>272</v>
      </c>
      <c r="V13" s="198" t="s">
        <v>272</v>
      </c>
      <c r="W13" s="198" t="s">
        <v>272</v>
      </c>
      <c r="X13" s="198" t="s">
        <v>272</v>
      </c>
      <c r="Y13" s="198" t="s">
        <v>273</v>
      </c>
      <c r="Z13" s="198" t="s">
        <v>272</v>
      </c>
      <c r="AA13" s="198" t="s">
        <v>272</v>
      </c>
      <c r="AB13" s="198" t="s">
        <v>272</v>
      </c>
      <c r="AC13" s="198" t="s">
        <v>273</v>
      </c>
      <c r="AD13" s="198" t="s">
        <v>273</v>
      </c>
      <c r="AE13" s="198" t="s">
        <v>273</v>
      </c>
      <c r="AF13" s="198" t="s">
        <v>273</v>
      </c>
      <c r="AG13" s="198" t="s">
        <v>273</v>
      </c>
    </row>
    <row r="14" spans="1:33" ht="25.5" x14ac:dyDescent="0.2">
      <c r="A14" s="197" t="s">
        <v>92</v>
      </c>
      <c r="B14" s="194" t="s">
        <v>182</v>
      </c>
      <c r="C14" s="195" t="s">
        <v>43</v>
      </c>
      <c r="D14" s="198" t="s">
        <v>274</v>
      </c>
      <c r="E14" s="198" t="s">
        <v>274</v>
      </c>
      <c r="F14" s="198" t="s">
        <v>275</v>
      </c>
      <c r="G14" s="198" t="s">
        <v>274</v>
      </c>
      <c r="H14" s="198" t="s">
        <v>274</v>
      </c>
      <c r="I14" s="198" t="s">
        <v>274</v>
      </c>
      <c r="J14" s="198" t="s">
        <v>274</v>
      </c>
      <c r="K14" s="198" t="s">
        <v>274</v>
      </c>
      <c r="L14" s="198" t="s">
        <v>274</v>
      </c>
      <c r="M14" s="198" t="s">
        <v>274</v>
      </c>
      <c r="N14" s="198" t="s">
        <v>274</v>
      </c>
      <c r="O14" s="198" t="s">
        <v>274</v>
      </c>
      <c r="P14" s="198" t="s">
        <v>274</v>
      </c>
      <c r="Q14" s="198" t="s">
        <v>274</v>
      </c>
      <c r="R14" s="198" t="s">
        <v>274</v>
      </c>
      <c r="S14" s="198" t="s">
        <v>274</v>
      </c>
      <c r="T14" s="198" t="s">
        <v>274</v>
      </c>
      <c r="U14" s="198" t="s">
        <v>274</v>
      </c>
      <c r="V14" s="198" t="s">
        <v>274</v>
      </c>
      <c r="W14" s="198" t="s">
        <v>274</v>
      </c>
      <c r="X14" s="198" t="s">
        <v>274</v>
      </c>
      <c r="Y14" s="198" t="s">
        <v>274</v>
      </c>
      <c r="Z14" s="198" t="s">
        <v>274</v>
      </c>
      <c r="AA14" s="198" t="s">
        <v>274</v>
      </c>
      <c r="AB14" s="198" t="s">
        <v>274</v>
      </c>
      <c r="AC14" s="198" t="s">
        <v>274</v>
      </c>
      <c r="AD14" s="198" t="s">
        <v>274</v>
      </c>
      <c r="AE14" s="198" t="s">
        <v>274</v>
      </c>
      <c r="AF14" s="198" t="s">
        <v>274</v>
      </c>
      <c r="AG14" s="198" t="s">
        <v>274</v>
      </c>
    </row>
    <row r="15" spans="1:33" x14ac:dyDescent="0.2">
      <c r="A15" s="179"/>
      <c r="B15" s="194"/>
      <c r="C15" s="195"/>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row>
    <row r="16" spans="1:33" x14ac:dyDescent="0.2">
      <c r="A16" s="179"/>
      <c r="B16" s="199" t="s">
        <v>205</v>
      </c>
      <c r="C16" s="200" t="s">
        <v>36</v>
      </c>
      <c r="D16" s="196" t="s">
        <v>584</v>
      </c>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row>
    <row r="17" spans="1:33" x14ac:dyDescent="0.2">
      <c r="A17" s="197" t="s">
        <v>93</v>
      </c>
      <c r="B17" s="201" t="s">
        <v>179</v>
      </c>
      <c r="C17" s="260">
        <f>SUM(D17:DA17)</f>
        <v>43218187.300000004</v>
      </c>
      <c r="D17" s="261">
        <v>1378076</v>
      </c>
      <c r="E17" s="262">
        <v>240000</v>
      </c>
      <c r="F17" s="263">
        <v>128481</v>
      </c>
      <c r="G17" s="263">
        <v>512449.74</v>
      </c>
      <c r="H17" s="263">
        <f>2222406.36+3950944.4+175050</f>
        <v>6348400.7599999998</v>
      </c>
      <c r="I17" s="263">
        <v>4321357</v>
      </c>
      <c r="J17" s="263">
        <v>1300</v>
      </c>
      <c r="K17" s="263">
        <v>620130</v>
      </c>
      <c r="L17" s="263">
        <f>751551+193000</f>
        <v>944551</v>
      </c>
      <c r="M17" s="263">
        <v>1391338.87</v>
      </c>
      <c r="N17" s="263">
        <v>482409.59</v>
      </c>
      <c r="O17" s="263">
        <v>0</v>
      </c>
      <c r="P17" s="263">
        <f>119525+9550</f>
        <v>129075</v>
      </c>
      <c r="Q17" s="263">
        <f>1460+450+10450+192757.45+2257254.5+471062+447906+4500+150+23496.75+17056441.75+422192+1307782.75+213206.68+9415+44730+20+14537+304321.14</f>
        <v>22782133.02</v>
      </c>
      <c r="R17" s="263">
        <f>170500+97950</f>
        <v>268450</v>
      </c>
      <c r="S17" s="263">
        <v>0</v>
      </c>
      <c r="T17" s="263">
        <v>214.9</v>
      </c>
      <c r="U17" s="263">
        <v>625</v>
      </c>
      <c r="V17" s="263">
        <v>2672.47</v>
      </c>
      <c r="W17" s="263">
        <v>155430</v>
      </c>
      <c r="X17" s="263">
        <v>142140</v>
      </c>
      <c r="Y17" s="263">
        <v>0</v>
      </c>
      <c r="Z17" s="263">
        <v>0</v>
      </c>
      <c r="AA17" s="263">
        <v>0</v>
      </c>
      <c r="AB17" s="263">
        <v>8913.84</v>
      </c>
      <c r="AC17" s="263">
        <v>442307</v>
      </c>
      <c r="AD17" s="263">
        <v>806435.86</v>
      </c>
      <c r="AE17" s="263">
        <v>1990545.27</v>
      </c>
      <c r="AF17" s="262">
        <v>76282.289999999994</v>
      </c>
      <c r="AG17" s="262">
        <v>44468.69</v>
      </c>
    </row>
    <row r="18" spans="1:33" x14ac:dyDescent="0.2">
      <c r="A18" s="179"/>
      <c r="B18" s="194"/>
      <c r="C18" s="205"/>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row>
    <row r="19" spans="1:33" x14ac:dyDescent="0.2">
      <c r="A19" s="179"/>
      <c r="B19" s="199" t="s">
        <v>208</v>
      </c>
      <c r="C19" s="200" t="s">
        <v>36</v>
      </c>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row>
    <row r="20" spans="1:33" ht="29.25" customHeight="1" x14ac:dyDescent="0.2">
      <c r="A20" s="179" t="s">
        <v>94</v>
      </c>
      <c r="B20" s="194" t="s">
        <v>140</v>
      </c>
      <c r="C20" s="195" t="s">
        <v>43</v>
      </c>
      <c r="D20" s="196">
        <v>10010000</v>
      </c>
      <c r="E20" s="196">
        <v>10010000</v>
      </c>
      <c r="F20" s="196">
        <v>28230000</v>
      </c>
      <c r="G20" s="196">
        <v>28370000</v>
      </c>
      <c r="H20" s="196">
        <v>30350000</v>
      </c>
      <c r="I20" s="196">
        <v>30350000</v>
      </c>
      <c r="J20" s="196">
        <v>30350000</v>
      </c>
      <c r="K20" s="196">
        <v>30350000</v>
      </c>
      <c r="L20" s="196">
        <v>30350000</v>
      </c>
      <c r="M20" s="196">
        <v>30350000</v>
      </c>
      <c r="N20" s="196">
        <v>30350000</v>
      </c>
      <c r="O20" s="196">
        <v>30980000</v>
      </c>
      <c r="P20" s="196">
        <v>31350000</v>
      </c>
      <c r="Q20" s="196">
        <v>31350000</v>
      </c>
      <c r="R20" s="196">
        <v>31350000</v>
      </c>
      <c r="S20" s="196">
        <v>31350000</v>
      </c>
      <c r="T20" s="196">
        <v>31350000</v>
      </c>
      <c r="U20" s="196">
        <v>31350000</v>
      </c>
      <c r="V20" s="196">
        <v>31350000</v>
      </c>
      <c r="W20" s="196">
        <v>31730000</v>
      </c>
      <c r="X20" s="196">
        <v>32827000</v>
      </c>
      <c r="Y20" s="196">
        <v>36340000</v>
      </c>
      <c r="Z20" s="196">
        <v>37300000</v>
      </c>
      <c r="AA20" s="196">
        <v>39078000</v>
      </c>
      <c r="AB20" s="196">
        <v>45920000</v>
      </c>
      <c r="AC20" s="196">
        <v>50550000</v>
      </c>
      <c r="AD20" s="196">
        <v>51080000</v>
      </c>
      <c r="AE20" s="196">
        <v>51090000</v>
      </c>
      <c r="AF20" s="196">
        <v>51100000</v>
      </c>
      <c r="AG20" s="196">
        <v>55110001</v>
      </c>
    </row>
    <row r="21" spans="1:33" ht="25.5" x14ac:dyDescent="0.2">
      <c r="A21" s="179" t="s">
        <v>95</v>
      </c>
      <c r="B21" s="194" t="s">
        <v>141</v>
      </c>
      <c r="C21" s="195" t="s">
        <v>43</v>
      </c>
      <c r="D21" s="196" t="s">
        <v>1042</v>
      </c>
      <c r="E21" s="196" t="s">
        <v>1042</v>
      </c>
      <c r="F21" s="196" t="s">
        <v>1043</v>
      </c>
      <c r="G21" s="207" t="s">
        <v>1044</v>
      </c>
      <c r="H21" s="196" t="s">
        <v>1045</v>
      </c>
      <c r="I21" s="196" t="s">
        <v>1045</v>
      </c>
      <c r="J21" s="196" t="s">
        <v>1045</v>
      </c>
      <c r="K21" s="196" t="s">
        <v>1045</v>
      </c>
      <c r="L21" s="196" t="s">
        <v>1045</v>
      </c>
      <c r="M21" s="196" t="s">
        <v>1045</v>
      </c>
      <c r="N21" s="196" t="s">
        <v>1045</v>
      </c>
      <c r="O21" s="196" t="s">
        <v>1046</v>
      </c>
      <c r="P21" s="196" t="s">
        <v>1047</v>
      </c>
      <c r="Q21" s="196" t="s">
        <v>1047</v>
      </c>
      <c r="R21" s="196" t="s">
        <v>1047</v>
      </c>
      <c r="S21" s="196" t="s">
        <v>1047</v>
      </c>
      <c r="T21" s="196" t="s">
        <v>1047</v>
      </c>
      <c r="U21" s="196" t="s">
        <v>1047</v>
      </c>
      <c r="V21" s="196" t="s">
        <v>1047</v>
      </c>
      <c r="W21" s="196" t="s">
        <v>1048</v>
      </c>
      <c r="X21" s="196" t="s">
        <v>1049</v>
      </c>
      <c r="Y21" s="196" t="s">
        <v>1050</v>
      </c>
      <c r="Z21" s="196" t="s">
        <v>1051</v>
      </c>
      <c r="AA21" s="196" t="s">
        <v>1052</v>
      </c>
      <c r="AB21" s="196" t="s">
        <v>1053</v>
      </c>
      <c r="AC21" s="196" t="s">
        <v>12</v>
      </c>
      <c r="AD21" s="196" t="s">
        <v>1054</v>
      </c>
      <c r="AE21" s="196" t="s">
        <v>1055</v>
      </c>
      <c r="AF21" s="196" t="s">
        <v>1056</v>
      </c>
      <c r="AG21" s="196" t="s">
        <v>1057</v>
      </c>
    </row>
    <row r="22" spans="1:33" x14ac:dyDescent="0.2">
      <c r="A22" s="179"/>
      <c r="B22" s="194"/>
      <c r="C22" s="195"/>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row>
    <row r="23" spans="1:33" ht="25.5" x14ac:dyDescent="0.2">
      <c r="A23" s="179"/>
      <c r="B23" s="199" t="s">
        <v>183</v>
      </c>
      <c r="C23" s="200" t="s">
        <v>36</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row>
    <row r="24" spans="1:33" x14ac:dyDescent="0.2">
      <c r="A24" s="179" t="s">
        <v>203</v>
      </c>
      <c r="B24" s="194" t="s">
        <v>184</v>
      </c>
      <c r="C24" s="208">
        <f>SUM(D24:DA24)</f>
        <v>34945395.290000007</v>
      </c>
      <c r="D24" s="203">
        <v>1661.58</v>
      </c>
      <c r="E24" s="204">
        <v>0</v>
      </c>
      <c r="F24" s="198">
        <v>0</v>
      </c>
      <c r="G24" s="198">
        <v>0</v>
      </c>
      <c r="H24" s="198">
        <v>12455926.66</v>
      </c>
      <c r="I24" s="198">
        <v>0</v>
      </c>
      <c r="J24" s="198">
        <v>0</v>
      </c>
      <c r="K24" s="198">
        <v>0</v>
      </c>
      <c r="L24" s="198">
        <v>0</v>
      </c>
      <c r="M24" s="198">
        <v>0</v>
      </c>
      <c r="N24" s="198">
        <v>0</v>
      </c>
      <c r="O24" s="198">
        <v>131.91999999999999</v>
      </c>
      <c r="P24" s="198">
        <f>22003935.31+125.04</f>
        <v>22004060.349999998</v>
      </c>
      <c r="Q24" s="198">
        <v>0</v>
      </c>
      <c r="R24" s="198">
        <v>0</v>
      </c>
      <c r="S24" s="198">
        <v>0</v>
      </c>
      <c r="T24" s="198">
        <v>0</v>
      </c>
      <c r="U24" s="198">
        <v>0</v>
      </c>
      <c r="V24" s="198">
        <v>0</v>
      </c>
      <c r="W24" s="198">
        <v>644769.21</v>
      </c>
      <c r="X24" s="198">
        <v>69485</v>
      </c>
      <c r="Y24" s="198">
        <v>0</v>
      </c>
      <c r="Z24" s="198">
        <v>253980</v>
      </c>
      <c r="AA24" s="198">
        <v>10612.25</v>
      </c>
      <c r="AB24" s="198">
        <v>153496.70000000001</v>
      </c>
      <c r="AC24" s="198">
        <v>-406979.54</v>
      </c>
      <c r="AD24" s="198">
        <v>-44869.9</v>
      </c>
      <c r="AE24" s="198">
        <v>-196855.61</v>
      </c>
      <c r="AF24" s="204">
        <v>-23.33</v>
      </c>
      <c r="AG24" s="204">
        <v>0</v>
      </c>
    </row>
    <row r="25" spans="1:33" x14ac:dyDescent="0.2">
      <c r="A25" s="179" t="s">
        <v>204</v>
      </c>
      <c r="B25" s="209" t="s">
        <v>185</v>
      </c>
      <c r="C25" s="210">
        <f>SUM(D25:DA25)</f>
        <v>3956191.2000000007</v>
      </c>
      <c r="D25" s="211">
        <v>0</v>
      </c>
      <c r="E25" s="212">
        <v>0</v>
      </c>
      <c r="F25" s="213">
        <v>0</v>
      </c>
      <c r="G25" s="213">
        <v>0</v>
      </c>
      <c r="H25" s="213">
        <v>2320775.9900000002</v>
      </c>
      <c r="I25" s="213">
        <v>0</v>
      </c>
      <c r="J25" s="213">
        <v>0</v>
      </c>
      <c r="K25" s="213">
        <v>0</v>
      </c>
      <c r="L25" s="213">
        <v>0</v>
      </c>
      <c r="M25" s="213">
        <v>0</v>
      </c>
      <c r="N25" s="213">
        <v>0</v>
      </c>
      <c r="O25" s="213">
        <v>0</v>
      </c>
      <c r="P25" s="213">
        <v>952601.33</v>
      </c>
      <c r="Q25" s="213">
        <v>0</v>
      </c>
      <c r="R25" s="213">
        <v>0</v>
      </c>
      <c r="S25" s="213">
        <v>0</v>
      </c>
      <c r="T25" s="213">
        <v>0</v>
      </c>
      <c r="U25" s="213">
        <v>0</v>
      </c>
      <c r="V25" s="213">
        <v>0</v>
      </c>
      <c r="W25" s="213">
        <v>99179.89</v>
      </c>
      <c r="X25" s="213">
        <v>18820</v>
      </c>
      <c r="Y25" s="213">
        <v>0</v>
      </c>
      <c r="Z25" s="213">
        <v>0</v>
      </c>
      <c r="AA25" s="213">
        <v>-1836.63</v>
      </c>
      <c r="AB25" s="213">
        <v>-38308.400000000001</v>
      </c>
      <c r="AC25" s="213">
        <v>406979.54</v>
      </c>
      <c r="AD25" s="213">
        <v>42231.27</v>
      </c>
      <c r="AE25" s="213">
        <v>155764.29</v>
      </c>
      <c r="AF25" s="212">
        <v>-16.079999999999998</v>
      </c>
      <c r="AG25" s="212">
        <v>0</v>
      </c>
    </row>
    <row r="26" spans="1:33" ht="13.5" thickBot="1" x14ac:dyDescent="0.25">
      <c r="A26" s="179" t="s">
        <v>96</v>
      </c>
      <c r="B26" s="214" t="s">
        <v>217</v>
      </c>
      <c r="C26" s="264">
        <f>SUM(D26:DA26)</f>
        <v>38901586.489999995</v>
      </c>
      <c r="D26" s="265">
        <f>SUM(D24:D25)</f>
        <v>1661.58</v>
      </c>
      <c r="E26" s="265">
        <f t="shared" ref="E26:AG26" si="0">SUM(E24:E25)</f>
        <v>0</v>
      </c>
      <c r="F26" s="265">
        <f t="shared" si="0"/>
        <v>0</v>
      </c>
      <c r="G26" s="265">
        <f t="shared" si="0"/>
        <v>0</v>
      </c>
      <c r="H26" s="265">
        <f t="shared" si="0"/>
        <v>14776702.65</v>
      </c>
      <c r="I26" s="265">
        <f t="shared" si="0"/>
        <v>0</v>
      </c>
      <c r="J26" s="265">
        <f t="shared" si="0"/>
        <v>0</v>
      </c>
      <c r="K26" s="265">
        <f t="shared" si="0"/>
        <v>0</v>
      </c>
      <c r="L26" s="265">
        <f t="shared" si="0"/>
        <v>0</v>
      </c>
      <c r="M26" s="265">
        <f t="shared" si="0"/>
        <v>0</v>
      </c>
      <c r="N26" s="265">
        <f t="shared" si="0"/>
        <v>0</v>
      </c>
      <c r="O26" s="265">
        <f t="shared" si="0"/>
        <v>131.91999999999999</v>
      </c>
      <c r="P26" s="265">
        <f t="shared" si="0"/>
        <v>22956661.679999996</v>
      </c>
      <c r="Q26" s="265">
        <f t="shared" si="0"/>
        <v>0</v>
      </c>
      <c r="R26" s="265">
        <f t="shared" si="0"/>
        <v>0</v>
      </c>
      <c r="S26" s="265">
        <f t="shared" si="0"/>
        <v>0</v>
      </c>
      <c r="T26" s="265">
        <f t="shared" si="0"/>
        <v>0</v>
      </c>
      <c r="U26" s="265">
        <f t="shared" si="0"/>
        <v>0</v>
      </c>
      <c r="V26" s="265">
        <f t="shared" si="0"/>
        <v>0</v>
      </c>
      <c r="W26" s="265">
        <f t="shared" si="0"/>
        <v>743949.1</v>
      </c>
      <c r="X26" s="265">
        <f t="shared" si="0"/>
        <v>88305</v>
      </c>
      <c r="Y26" s="265">
        <f t="shared" si="0"/>
        <v>0</v>
      </c>
      <c r="Z26" s="265">
        <f t="shared" si="0"/>
        <v>253980</v>
      </c>
      <c r="AA26" s="265">
        <f t="shared" si="0"/>
        <v>8775.619999999999</v>
      </c>
      <c r="AB26" s="265">
        <f t="shared" si="0"/>
        <v>115188.30000000002</v>
      </c>
      <c r="AC26" s="265">
        <f t="shared" si="0"/>
        <v>0</v>
      </c>
      <c r="AD26" s="265">
        <f t="shared" si="0"/>
        <v>-2638.6300000000047</v>
      </c>
      <c r="AE26" s="265">
        <f t="shared" si="0"/>
        <v>-41091.319999999978</v>
      </c>
      <c r="AF26" s="265">
        <f t="shared" si="0"/>
        <v>-39.409999999999997</v>
      </c>
      <c r="AG26" s="265">
        <f t="shared" si="0"/>
        <v>0</v>
      </c>
    </row>
    <row r="27" spans="1:33" x14ac:dyDescent="0.2">
      <c r="A27" s="179"/>
      <c r="B27" s="181"/>
      <c r="C27" s="202"/>
      <c r="D27" s="203"/>
      <c r="E27" s="204"/>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204"/>
      <c r="AG27" s="204"/>
    </row>
    <row r="28" spans="1:33" ht="13.5" thickBot="1" x14ac:dyDescent="0.25">
      <c r="A28" s="179"/>
      <c r="B28" s="259" t="s">
        <v>155</v>
      </c>
      <c r="C28" s="205"/>
      <c r="D28" s="215"/>
      <c r="E28" s="216"/>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6"/>
      <c r="AG28" s="216"/>
    </row>
    <row r="29" spans="1:33" x14ac:dyDescent="0.2">
      <c r="A29" s="179"/>
      <c r="B29" s="217" t="s">
        <v>47</v>
      </c>
      <c r="C29" s="192" t="s">
        <v>36</v>
      </c>
      <c r="D29" s="218"/>
      <c r="E29" s="219"/>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9"/>
      <c r="AG29" s="219"/>
    </row>
    <row r="30" spans="1:33" ht="51" x14ac:dyDescent="0.2">
      <c r="A30" s="179" t="s">
        <v>97</v>
      </c>
      <c r="B30" s="194" t="s">
        <v>45</v>
      </c>
      <c r="C30" s="195" t="s">
        <v>43</v>
      </c>
      <c r="D30" s="196" t="s">
        <v>1058</v>
      </c>
      <c r="E30" s="196" t="s">
        <v>1059</v>
      </c>
      <c r="F30" s="196" t="s">
        <v>1060</v>
      </c>
      <c r="G30" s="196" t="s">
        <v>1061</v>
      </c>
      <c r="H30" s="196" t="s">
        <v>1062</v>
      </c>
      <c r="I30" s="196" t="s">
        <v>1063</v>
      </c>
      <c r="J30" s="196" t="s">
        <v>1064</v>
      </c>
      <c r="K30" s="196" t="s">
        <v>1065</v>
      </c>
      <c r="L30" s="196" t="s">
        <v>1066</v>
      </c>
      <c r="M30" s="196" t="s">
        <v>1067</v>
      </c>
      <c r="N30" s="196" t="s">
        <v>1068</v>
      </c>
      <c r="O30" s="196" t="s">
        <v>1069</v>
      </c>
      <c r="P30" s="196" t="s">
        <v>1070</v>
      </c>
      <c r="Q30" s="196" t="s">
        <v>1071</v>
      </c>
      <c r="R30" s="196" t="s">
        <v>1072</v>
      </c>
      <c r="S30" s="196" t="s">
        <v>1067</v>
      </c>
      <c r="T30" s="196" t="s">
        <v>1064</v>
      </c>
      <c r="U30" s="196" t="s">
        <v>1073</v>
      </c>
      <c r="V30" s="196" t="s">
        <v>1066</v>
      </c>
      <c r="W30" s="196" t="s">
        <v>1074</v>
      </c>
      <c r="X30" s="196" t="s">
        <v>1074</v>
      </c>
      <c r="Y30" s="196" t="s">
        <v>1075</v>
      </c>
      <c r="Z30" s="196" t="s">
        <v>1074</v>
      </c>
      <c r="AA30" s="196" t="s">
        <v>1076</v>
      </c>
      <c r="AB30" s="196" t="s">
        <v>1074</v>
      </c>
      <c r="AC30" s="196" t="s">
        <v>1067</v>
      </c>
      <c r="AD30" s="196" t="s">
        <v>1077</v>
      </c>
      <c r="AE30" s="196" t="s">
        <v>1078</v>
      </c>
      <c r="AF30" s="196" t="s">
        <v>1079</v>
      </c>
      <c r="AG30" s="196" t="s">
        <v>1067</v>
      </c>
    </row>
    <row r="31" spans="1:33" ht="76.5" x14ac:dyDescent="0.2">
      <c r="A31" s="179" t="s">
        <v>98</v>
      </c>
      <c r="B31" s="194" t="s">
        <v>46</v>
      </c>
      <c r="C31" s="195" t="s">
        <v>43</v>
      </c>
      <c r="D31" s="196" t="s">
        <v>1080</v>
      </c>
      <c r="E31" s="196" t="s">
        <v>1081</v>
      </c>
      <c r="F31" s="196" t="s">
        <v>1082</v>
      </c>
      <c r="G31" s="196" t="s">
        <v>1083</v>
      </c>
      <c r="H31" s="196" t="s">
        <v>1084</v>
      </c>
      <c r="I31" s="196" t="s">
        <v>1085</v>
      </c>
      <c r="J31" s="196" t="s">
        <v>1086</v>
      </c>
      <c r="K31" s="196" t="s">
        <v>1087</v>
      </c>
      <c r="L31" s="196" t="s">
        <v>1081</v>
      </c>
      <c r="M31" s="196" t="s">
        <v>1088</v>
      </c>
      <c r="N31" s="196" t="s">
        <v>1089</v>
      </c>
      <c r="O31" s="196" t="s">
        <v>1090</v>
      </c>
      <c r="P31" s="196" t="s">
        <v>1091</v>
      </c>
      <c r="Q31" s="196" t="s">
        <v>1092</v>
      </c>
      <c r="R31" s="196" t="s">
        <v>1093</v>
      </c>
      <c r="S31" s="196" t="s">
        <v>1094</v>
      </c>
      <c r="T31" s="196" t="s">
        <v>1086</v>
      </c>
      <c r="U31" s="196" t="s">
        <v>1095</v>
      </c>
      <c r="V31" s="196" t="s">
        <v>1096</v>
      </c>
      <c r="W31" s="196" t="s">
        <v>1097</v>
      </c>
      <c r="X31" s="196" t="s">
        <v>1097</v>
      </c>
      <c r="Y31" s="196" t="s">
        <v>1081</v>
      </c>
      <c r="Z31" s="196" t="s">
        <v>1097</v>
      </c>
      <c r="AA31" s="196" t="s">
        <v>1090</v>
      </c>
      <c r="AB31" s="196" t="s">
        <v>1097</v>
      </c>
      <c r="AC31" s="196" t="s">
        <v>1098</v>
      </c>
      <c r="AD31" s="196" t="s">
        <v>1099</v>
      </c>
      <c r="AE31" s="196" t="s">
        <v>1100</v>
      </c>
      <c r="AF31" s="196" t="s">
        <v>1101</v>
      </c>
      <c r="AG31" s="196" t="s">
        <v>1094</v>
      </c>
    </row>
    <row r="32" spans="1:33" x14ac:dyDescent="0.2">
      <c r="A32" s="179"/>
      <c r="B32" s="194"/>
      <c r="C32" s="195"/>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row>
    <row r="33" spans="1:33" x14ac:dyDescent="0.2">
      <c r="A33" s="179"/>
      <c r="B33" s="220" t="s">
        <v>147</v>
      </c>
      <c r="C33" s="200" t="s">
        <v>36</v>
      </c>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row>
    <row r="34" spans="1:33" ht="25.5" x14ac:dyDescent="0.2">
      <c r="A34" s="179"/>
      <c r="B34" s="221" t="s">
        <v>163</v>
      </c>
      <c r="C34" s="200"/>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row>
    <row r="35" spans="1:33" ht="25.5" x14ac:dyDescent="0.2">
      <c r="A35" s="179" t="s">
        <v>99</v>
      </c>
      <c r="B35" s="194" t="s">
        <v>32</v>
      </c>
      <c r="C35" s="202">
        <f>SUM(D35:DA35)</f>
        <v>9072.4600000000009</v>
      </c>
      <c r="D35" s="203">
        <v>296.83999999999997</v>
      </c>
      <c r="E35" s="198">
        <v>0</v>
      </c>
      <c r="F35" s="198">
        <v>0</v>
      </c>
      <c r="G35" s="198">
        <v>0</v>
      </c>
      <c r="H35" s="198">
        <v>0</v>
      </c>
      <c r="I35" s="198">
        <v>0</v>
      </c>
      <c r="J35" s="198">
        <v>0</v>
      </c>
      <c r="K35" s="198">
        <v>0</v>
      </c>
      <c r="L35" s="198">
        <v>0</v>
      </c>
      <c r="M35" s="198">
        <v>0</v>
      </c>
      <c r="N35" s="198">
        <v>0</v>
      </c>
      <c r="O35" s="198">
        <v>0</v>
      </c>
      <c r="P35" s="198">
        <v>0</v>
      </c>
      <c r="Q35" s="198">
        <v>0</v>
      </c>
      <c r="R35" s="198">
        <v>0</v>
      </c>
      <c r="S35" s="198">
        <v>0</v>
      </c>
      <c r="T35" s="198">
        <v>0</v>
      </c>
      <c r="U35" s="198">
        <v>0</v>
      </c>
      <c r="V35" s="198">
        <v>0</v>
      </c>
      <c r="W35" s="198">
        <v>0</v>
      </c>
      <c r="X35" s="198">
        <v>0</v>
      </c>
      <c r="Y35" s="198">
        <v>0</v>
      </c>
      <c r="Z35" s="198">
        <v>0</v>
      </c>
      <c r="AA35" s="198">
        <v>8775.6200000000008</v>
      </c>
      <c r="AB35" s="198">
        <v>0</v>
      </c>
      <c r="AC35" s="198">
        <v>0</v>
      </c>
      <c r="AD35" s="198">
        <v>0</v>
      </c>
      <c r="AE35" s="198">
        <v>0</v>
      </c>
      <c r="AF35" s="198">
        <v>0</v>
      </c>
      <c r="AG35" s="198">
        <v>0</v>
      </c>
    </row>
    <row r="36" spans="1:33" x14ac:dyDescent="0.2">
      <c r="A36" s="179" t="s">
        <v>100</v>
      </c>
      <c r="B36" s="194" t="s">
        <v>1102</v>
      </c>
      <c r="C36" s="202">
        <f>SUM(D36:DA36)</f>
        <v>41556657</v>
      </c>
      <c r="D36" s="203">
        <v>1354785</v>
      </c>
      <c r="E36" s="203">
        <v>0</v>
      </c>
      <c r="F36" s="203">
        <v>0</v>
      </c>
      <c r="G36" s="203">
        <v>0</v>
      </c>
      <c r="H36" s="203">
        <v>14645332</v>
      </c>
      <c r="I36" s="203">
        <v>0</v>
      </c>
      <c r="J36" s="203">
        <v>0</v>
      </c>
      <c r="K36" s="203">
        <v>0</v>
      </c>
      <c r="L36" s="203">
        <v>0</v>
      </c>
      <c r="M36" s="203">
        <v>0</v>
      </c>
      <c r="N36" s="203">
        <v>0</v>
      </c>
      <c r="O36" s="203">
        <v>0</v>
      </c>
      <c r="P36" s="203">
        <v>22145776</v>
      </c>
      <c r="Q36" s="203">
        <v>0</v>
      </c>
      <c r="R36" s="203">
        <v>0</v>
      </c>
      <c r="S36" s="203">
        <v>0</v>
      </c>
      <c r="T36" s="203">
        <v>0</v>
      </c>
      <c r="U36" s="203">
        <v>0</v>
      </c>
      <c r="V36" s="203">
        <v>0</v>
      </c>
      <c r="W36" s="203">
        <v>200000</v>
      </c>
      <c r="X36" s="203">
        <v>0</v>
      </c>
      <c r="Y36" s="203">
        <v>500000</v>
      </c>
      <c r="Z36" s="203">
        <v>0</v>
      </c>
      <c r="AA36" s="203">
        <v>0</v>
      </c>
      <c r="AB36" s="203">
        <v>0</v>
      </c>
      <c r="AC36" s="203">
        <v>7970</v>
      </c>
      <c r="AD36" s="203">
        <v>795040</v>
      </c>
      <c r="AE36" s="203">
        <v>1825181</v>
      </c>
      <c r="AF36" s="203">
        <v>82573</v>
      </c>
      <c r="AG36" s="203">
        <v>0</v>
      </c>
    </row>
    <row r="37" spans="1:33" x14ac:dyDescent="0.2">
      <c r="A37" s="179" t="s">
        <v>101</v>
      </c>
      <c r="B37" s="201" t="s">
        <v>158</v>
      </c>
      <c r="C37" s="202">
        <f>SUM(D37:DA37)</f>
        <v>41565729.460000001</v>
      </c>
      <c r="D37" s="198">
        <f>SUM(D35:D36)</f>
        <v>1355081.84</v>
      </c>
      <c r="E37" s="198">
        <f>SUM(E35:E36)</f>
        <v>0</v>
      </c>
      <c r="F37" s="198">
        <f t="shared" ref="F37:AG37" si="1">SUM(F35:F36)</f>
        <v>0</v>
      </c>
      <c r="G37" s="198">
        <f t="shared" si="1"/>
        <v>0</v>
      </c>
      <c r="H37" s="198">
        <f t="shared" si="1"/>
        <v>14645332</v>
      </c>
      <c r="I37" s="198">
        <f t="shared" si="1"/>
        <v>0</v>
      </c>
      <c r="J37" s="198">
        <f t="shared" si="1"/>
        <v>0</v>
      </c>
      <c r="K37" s="198">
        <f t="shared" si="1"/>
        <v>0</v>
      </c>
      <c r="L37" s="198">
        <f t="shared" si="1"/>
        <v>0</v>
      </c>
      <c r="M37" s="198">
        <f t="shared" si="1"/>
        <v>0</v>
      </c>
      <c r="N37" s="198">
        <f t="shared" si="1"/>
        <v>0</v>
      </c>
      <c r="O37" s="198">
        <f t="shared" si="1"/>
        <v>0</v>
      </c>
      <c r="P37" s="198">
        <f t="shared" si="1"/>
        <v>22145776</v>
      </c>
      <c r="Q37" s="198">
        <f t="shared" si="1"/>
        <v>0</v>
      </c>
      <c r="R37" s="198">
        <f t="shared" si="1"/>
        <v>0</v>
      </c>
      <c r="S37" s="198">
        <f t="shared" si="1"/>
        <v>0</v>
      </c>
      <c r="T37" s="198">
        <f t="shared" si="1"/>
        <v>0</v>
      </c>
      <c r="U37" s="198">
        <f t="shared" si="1"/>
        <v>0</v>
      </c>
      <c r="V37" s="198">
        <f t="shared" si="1"/>
        <v>0</v>
      </c>
      <c r="W37" s="198">
        <f t="shared" si="1"/>
        <v>200000</v>
      </c>
      <c r="X37" s="198">
        <f t="shared" si="1"/>
        <v>0</v>
      </c>
      <c r="Y37" s="198">
        <f t="shared" si="1"/>
        <v>500000</v>
      </c>
      <c r="Z37" s="198">
        <f t="shared" si="1"/>
        <v>0</v>
      </c>
      <c r="AA37" s="198">
        <f t="shared" si="1"/>
        <v>8775.6200000000008</v>
      </c>
      <c r="AB37" s="198">
        <f t="shared" si="1"/>
        <v>0</v>
      </c>
      <c r="AC37" s="198">
        <f t="shared" si="1"/>
        <v>7970</v>
      </c>
      <c r="AD37" s="198">
        <f t="shared" si="1"/>
        <v>795040</v>
      </c>
      <c r="AE37" s="198">
        <f t="shared" si="1"/>
        <v>1825181</v>
      </c>
      <c r="AF37" s="198">
        <v>82573</v>
      </c>
      <c r="AG37" s="198">
        <f t="shared" si="1"/>
        <v>0</v>
      </c>
    </row>
    <row r="38" spans="1:33" x14ac:dyDescent="0.2">
      <c r="A38" s="179" t="s">
        <v>102</v>
      </c>
      <c r="B38" s="209" t="s">
        <v>1103</v>
      </c>
      <c r="C38" s="210">
        <f>SUM(D38:DA38)</f>
        <v>1987185.5899999999</v>
      </c>
      <c r="D38" s="211">
        <v>46119.61</v>
      </c>
      <c r="E38" s="211">
        <v>25000</v>
      </c>
      <c r="F38" s="211">
        <v>0</v>
      </c>
      <c r="G38" s="211">
        <v>0</v>
      </c>
      <c r="H38" s="211">
        <v>0</v>
      </c>
      <c r="I38" s="211">
        <v>0</v>
      </c>
      <c r="J38" s="211">
        <v>0</v>
      </c>
      <c r="K38" s="211">
        <v>0</v>
      </c>
      <c r="L38" s="211">
        <v>0</v>
      </c>
      <c r="M38" s="211">
        <v>0</v>
      </c>
      <c r="N38" s="211">
        <v>0</v>
      </c>
      <c r="O38" s="211">
        <v>0</v>
      </c>
      <c r="P38" s="211">
        <v>0</v>
      </c>
      <c r="Q38" s="211">
        <v>0</v>
      </c>
      <c r="R38" s="211">
        <v>0</v>
      </c>
      <c r="S38" s="211">
        <v>0</v>
      </c>
      <c r="T38" s="211">
        <v>0</v>
      </c>
      <c r="U38" s="211">
        <v>0</v>
      </c>
      <c r="V38" s="211">
        <v>0</v>
      </c>
      <c r="W38" s="211">
        <v>0</v>
      </c>
      <c r="X38" s="211">
        <v>100000</v>
      </c>
      <c r="Y38" s="211">
        <v>0</v>
      </c>
      <c r="Z38" s="211">
        <v>0</v>
      </c>
      <c r="AA38" s="211">
        <v>1238362.98</v>
      </c>
      <c r="AB38" s="211">
        <v>0</v>
      </c>
      <c r="AC38" s="211">
        <v>0</v>
      </c>
      <c r="AD38" s="211">
        <v>0</v>
      </c>
      <c r="AE38" s="211">
        <v>577703</v>
      </c>
      <c r="AF38" s="211">
        <v>0</v>
      </c>
      <c r="AG38" s="211">
        <v>0</v>
      </c>
    </row>
    <row r="39" spans="1:33" ht="13.5" thickBot="1" x14ac:dyDescent="0.25">
      <c r="A39" s="179" t="s">
        <v>103</v>
      </c>
      <c r="B39" s="222" t="s">
        <v>160</v>
      </c>
      <c r="C39" s="264">
        <f>SUM(D39:DA39)</f>
        <v>43552915.050000004</v>
      </c>
      <c r="D39" s="265">
        <f>SUM(D37:D38)</f>
        <v>1401201.4500000002</v>
      </c>
      <c r="E39" s="265">
        <f t="shared" ref="E39:AG39" si="2">SUM(E37:E38)</f>
        <v>25000</v>
      </c>
      <c r="F39" s="265">
        <f t="shared" si="2"/>
        <v>0</v>
      </c>
      <c r="G39" s="265">
        <f t="shared" si="2"/>
        <v>0</v>
      </c>
      <c r="H39" s="265">
        <f t="shared" si="2"/>
        <v>14645332</v>
      </c>
      <c r="I39" s="265">
        <f t="shared" si="2"/>
        <v>0</v>
      </c>
      <c r="J39" s="265">
        <f t="shared" si="2"/>
        <v>0</v>
      </c>
      <c r="K39" s="265">
        <f t="shared" si="2"/>
        <v>0</v>
      </c>
      <c r="L39" s="265">
        <f t="shared" si="2"/>
        <v>0</v>
      </c>
      <c r="M39" s="265">
        <f t="shared" si="2"/>
        <v>0</v>
      </c>
      <c r="N39" s="265">
        <f t="shared" si="2"/>
        <v>0</v>
      </c>
      <c r="O39" s="265">
        <f t="shared" si="2"/>
        <v>0</v>
      </c>
      <c r="P39" s="265">
        <f t="shared" si="2"/>
        <v>22145776</v>
      </c>
      <c r="Q39" s="265">
        <f t="shared" si="2"/>
        <v>0</v>
      </c>
      <c r="R39" s="265">
        <f t="shared" si="2"/>
        <v>0</v>
      </c>
      <c r="S39" s="265">
        <f t="shared" si="2"/>
        <v>0</v>
      </c>
      <c r="T39" s="265">
        <f t="shared" si="2"/>
        <v>0</v>
      </c>
      <c r="U39" s="265">
        <f t="shared" si="2"/>
        <v>0</v>
      </c>
      <c r="V39" s="265">
        <f t="shared" si="2"/>
        <v>0</v>
      </c>
      <c r="W39" s="265">
        <f t="shared" si="2"/>
        <v>200000</v>
      </c>
      <c r="X39" s="265">
        <f t="shared" si="2"/>
        <v>100000</v>
      </c>
      <c r="Y39" s="265">
        <f t="shared" si="2"/>
        <v>500000</v>
      </c>
      <c r="Z39" s="265">
        <f t="shared" si="2"/>
        <v>0</v>
      </c>
      <c r="AA39" s="265">
        <f t="shared" si="2"/>
        <v>1247138.6000000001</v>
      </c>
      <c r="AB39" s="265">
        <f t="shared" si="2"/>
        <v>0</v>
      </c>
      <c r="AC39" s="265">
        <f t="shared" si="2"/>
        <v>7970</v>
      </c>
      <c r="AD39" s="265">
        <f t="shared" si="2"/>
        <v>795040</v>
      </c>
      <c r="AE39" s="265">
        <f t="shared" si="2"/>
        <v>2402884</v>
      </c>
      <c r="AF39" s="265">
        <f t="shared" si="2"/>
        <v>82573</v>
      </c>
      <c r="AG39" s="265">
        <f t="shared" si="2"/>
        <v>0</v>
      </c>
    </row>
    <row r="40" spans="1:33" x14ac:dyDescent="0.2">
      <c r="A40" s="179"/>
      <c r="B40" s="223"/>
      <c r="C40" s="202"/>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row>
    <row r="41" spans="1:33" ht="13.5" thickBot="1" x14ac:dyDescent="0.25">
      <c r="A41" s="179"/>
      <c r="B41" s="259" t="s">
        <v>156</v>
      </c>
      <c r="C41" s="205"/>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row>
    <row r="42" spans="1:33" x14ac:dyDescent="0.2">
      <c r="A42" s="179"/>
      <c r="B42" s="217" t="s">
        <v>52</v>
      </c>
      <c r="C42" s="192" t="s">
        <v>36</v>
      </c>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t="s">
        <v>1104</v>
      </c>
      <c r="AD42" s="225"/>
      <c r="AE42" s="225"/>
      <c r="AF42" s="225"/>
      <c r="AG42" s="225"/>
    </row>
    <row r="43" spans="1:33" x14ac:dyDescent="0.2">
      <c r="A43" s="197" t="s">
        <v>104</v>
      </c>
      <c r="B43" s="226" t="s">
        <v>48</v>
      </c>
      <c r="C43" s="227" t="s">
        <v>43</v>
      </c>
      <c r="D43" s="206" t="s">
        <v>1105</v>
      </c>
      <c r="E43" s="206" t="s">
        <v>1105</v>
      </c>
      <c r="F43" s="206" t="s">
        <v>1105</v>
      </c>
      <c r="G43" s="206" t="s">
        <v>1105</v>
      </c>
      <c r="H43" s="206" t="s">
        <v>1105</v>
      </c>
      <c r="I43" s="206" t="s">
        <v>1105</v>
      </c>
      <c r="J43" s="206" t="s">
        <v>1105</v>
      </c>
      <c r="K43" s="206" t="s">
        <v>1105</v>
      </c>
      <c r="L43" s="206" t="s">
        <v>1105</v>
      </c>
      <c r="M43" s="206" t="s">
        <v>1105</v>
      </c>
      <c r="N43" s="206" t="s">
        <v>1105</v>
      </c>
      <c r="O43" s="206" t="s">
        <v>1105</v>
      </c>
      <c r="P43" s="206" t="s">
        <v>1105</v>
      </c>
      <c r="Q43" s="206" t="s">
        <v>1105</v>
      </c>
      <c r="R43" s="206" t="s">
        <v>1105</v>
      </c>
      <c r="S43" s="206" t="s">
        <v>1105</v>
      </c>
      <c r="T43" s="206" t="s">
        <v>1105</v>
      </c>
      <c r="U43" s="206" t="s">
        <v>1105</v>
      </c>
      <c r="V43" s="206" t="s">
        <v>1105</v>
      </c>
      <c r="W43" s="206" t="s">
        <v>1105</v>
      </c>
      <c r="X43" s="206" t="s">
        <v>1105</v>
      </c>
      <c r="Y43" s="206" t="s">
        <v>1105</v>
      </c>
      <c r="Z43" s="206" t="s">
        <v>1105</v>
      </c>
      <c r="AA43" s="206" t="s">
        <v>1105</v>
      </c>
      <c r="AB43" s="206" t="s">
        <v>1105</v>
      </c>
      <c r="AC43" s="206" t="s">
        <v>1105</v>
      </c>
      <c r="AD43" s="206" t="s">
        <v>1105</v>
      </c>
      <c r="AE43" s="206" t="s">
        <v>1105</v>
      </c>
      <c r="AF43" s="206" t="s">
        <v>1105</v>
      </c>
      <c r="AG43" s="206" t="s">
        <v>1105</v>
      </c>
    </row>
    <row r="44" spans="1:33" x14ac:dyDescent="0.2">
      <c r="B44" s="228"/>
      <c r="C44" s="229"/>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row>
    <row r="45" spans="1:33" x14ac:dyDescent="0.2">
      <c r="B45" s="220" t="s">
        <v>154</v>
      </c>
      <c r="C45" s="200" t="s">
        <v>36</v>
      </c>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row>
    <row r="46" spans="1:33" ht="63.75" x14ac:dyDescent="0.2">
      <c r="A46" s="185" t="s">
        <v>105</v>
      </c>
      <c r="B46" s="194" t="s">
        <v>142</v>
      </c>
      <c r="C46" s="231" t="str">
        <f>C9</f>
        <v>N/A</v>
      </c>
      <c r="D46" s="232" t="str">
        <f>D9</f>
        <v>General Appropriation Programs</v>
      </c>
      <c r="E46" s="232" t="str">
        <f>E9</f>
        <v>Proviso 118.14(B)(42)(a-c)</v>
      </c>
      <c r="F46" s="232" t="str">
        <f>F9</f>
        <v>Indirect Cost Recovery</v>
      </c>
      <c r="G46" s="232" t="str">
        <f>G9</f>
        <v>Section 40-1-180 fines and costs</v>
      </c>
      <c r="H46" s="232" t="str">
        <f t="shared" ref="H46:AE46" si="3">H9</f>
        <v>Fire Insurance Premium Tax</v>
      </c>
      <c r="I46" s="232" t="str">
        <f t="shared" si="3"/>
        <v>Act 60 - Fire Insurance Premium Tax</v>
      </c>
      <c r="J46" s="232" t="str">
        <f t="shared" si="3"/>
        <v>Immigration Fees</v>
      </c>
      <c r="K46" s="232" t="str">
        <f t="shared" si="3"/>
        <v>Elevators/Amusement Ride Fees</v>
      </c>
      <c r="L46" s="232" t="str">
        <f t="shared" si="3"/>
        <v>State Fire Marshal Fees</v>
      </c>
      <c r="M46" s="232" t="str">
        <f t="shared" si="3"/>
        <v>Fire Academy Fees</v>
      </c>
      <c r="N46" s="232" t="str">
        <f t="shared" si="3"/>
        <v>Building Code, Manuf'd Housing and Boiler Safety Program  Fees</v>
      </c>
      <c r="O46" s="232" t="str">
        <f t="shared" si="3"/>
        <v>Donations-Fire Academy</v>
      </c>
      <c r="P46" s="232" t="str">
        <f t="shared" si="3"/>
        <v>State Fire Marshal Fees</v>
      </c>
      <c r="Q46" s="232" t="str">
        <f t="shared" si="3"/>
        <v>Professional and Occupational Licensee Fees</v>
      </c>
      <c r="R46" s="232" t="str">
        <f t="shared" si="3"/>
        <v>State Fire Marshal - Pyro and LP Gas Fees</v>
      </c>
      <c r="S46" s="232" t="str">
        <f t="shared" si="3"/>
        <v>Federal Grants-Unrestricted R3601PAFL016 (matching funds for 2015 Flood Grant)</v>
      </c>
      <c r="T46" s="232" t="str">
        <f t="shared" si="3"/>
        <v>Sale of Surplus Materials &amp; Supplies</v>
      </c>
      <c r="U46" s="232" t="str">
        <f t="shared" si="3"/>
        <v xml:space="preserve">Refunds from Prior Year Expenditures </v>
      </c>
      <c r="V46" s="232" t="str">
        <f t="shared" si="3"/>
        <v>Insurance Claims</v>
      </c>
      <c r="W46" s="232" t="str">
        <f t="shared" si="3"/>
        <v>Research and Education Funds</v>
      </c>
      <c r="X46" s="232" t="str">
        <f t="shared" si="3"/>
        <v>Real Estate Appraisal Registry</v>
      </c>
      <c r="Y46" s="232" t="str">
        <f t="shared" si="3"/>
        <v>V-Safe Grant Funds</v>
      </c>
      <c r="Z46" s="232" t="str">
        <f t="shared" si="3"/>
        <v>Real Estate Vacation Time Share Recovery Fund</v>
      </c>
      <c r="AA46" s="232" t="str">
        <f t="shared" si="3"/>
        <v>Capital Projects</v>
      </c>
      <c r="AB46" s="232" t="str">
        <f t="shared" si="3"/>
        <v>Auctioneer Recovery Funds</v>
      </c>
      <c r="AC46" s="232" t="str">
        <f t="shared" si="3"/>
        <v>State Fire Training FEMA Grant</v>
      </c>
      <c r="AD46" s="232" t="str">
        <f t="shared" si="3"/>
        <v>OSHA 21D Grant</v>
      </c>
      <c r="AE46" s="232" t="str">
        <f t="shared" si="3"/>
        <v>OSHA 23G Grant</v>
      </c>
      <c r="AF46" s="232" t="str">
        <f>AF9</f>
        <v>OSHA BLS Grant</v>
      </c>
      <c r="AG46" s="232" t="str">
        <f>AG9</f>
        <v>Public Assistance Flood 2015 R3601PAFL016</v>
      </c>
    </row>
    <row r="47" spans="1:33" x14ac:dyDescent="0.2">
      <c r="A47" s="185" t="s">
        <v>106</v>
      </c>
      <c r="B47" s="194" t="s">
        <v>143</v>
      </c>
      <c r="C47" s="231" t="s">
        <v>43</v>
      </c>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row>
    <row r="48" spans="1:33" ht="25.5" x14ac:dyDescent="0.2">
      <c r="A48" s="179" t="s">
        <v>107</v>
      </c>
      <c r="B48" s="228" t="s">
        <v>152</v>
      </c>
      <c r="C48" s="227" t="s">
        <v>43</v>
      </c>
      <c r="D48" s="207"/>
      <c r="E48" s="207"/>
      <c r="F48" s="207" t="s">
        <v>1106</v>
      </c>
      <c r="G48" s="207" t="s">
        <v>1106</v>
      </c>
      <c r="H48" s="207"/>
      <c r="I48" s="207"/>
      <c r="J48" s="207"/>
      <c r="K48" s="207"/>
      <c r="L48" s="207"/>
      <c r="M48" s="207"/>
      <c r="N48" s="207"/>
      <c r="O48" s="207" t="s">
        <v>584</v>
      </c>
      <c r="P48" s="207"/>
      <c r="Q48" s="207"/>
      <c r="R48" s="207"/>
      <c r="S48" s="207"/>
      <c r="T48" s="207"/>
      <c r="U48" s="207"/>
      <c r="V48" s="207"/>
      <c r="W48" s="207" t="s">
        <v>1107</v>
      </c>
      <c r="X48" s="207" t="s">
        <v>1030</v>
      </c>
      <c r="Y48" s="207" t="s">
        <v>1108</v>
      </c>
      <c r="Z48" s="207" t="s">
        <v>1032</v>
      </c>
      <c r="AA48" s="207" t="s">
        <v>1033</v>
      </c>
      <c r="AB48" s="207" t="s">
        <v>1109</v>
      </c>
      <c r="AC48" s="207" t="s">
        <v>1110</v>
      </c>
      <c r="AD48" s="207" t="s">
        <v>1110</v>
      </c>
      <c r="AE48" s="207" t="s">
        <v>1110</v>
      </c>
      <c r="AF48" s="207" t="s">
        <v>1110</v>
      </c>
      <c r="AG48" s="207" t="s">
        <v>1110</v>
      </c>
    </row>
    <row r="49" spans="1:33" ht="76.5" x14ac:dyDescent="0.2">
      <c r="A49" s="185" t="s">
        <v>108</v>
      </c>
      <c r="B49" s="194" t="s">
        <v>46</v>
      </c>
      <c r="C49" s="233" t="str">
        <f>C31</f>
        <v>N/A</v>
      </c>
      <c r="D49" s="232" t="str">
        <f>D31</f>
        <v>II.A. OSHA Voluntary II.B. Occupational Safety &amp; Health, III. Employee Benefits</v>
      </c>
      <c r="E49" s="232" t="str">
        <f>E31</f>
        <v>II.D. State Fire Marshal</v>
      </c>
      <c r="F49" s="232" t="str">
        <f>F31</f>
        <v>II. A. OSHA Voluntary, II.B. Occupational Safety &amp; Health</v>
      </c>
      <c r="G49" s="232" t="str">
        <f>G31</f>
        <v>II. G. Labor Services, II.B. Occupational Safety &amp; Health , II.D. State Fire Marshal, II.H. Building Codes</v>
      </c>
      <c r="H49" s="232" t="str">
        <f t="shared" ref="H49:AE49" si="4">H31</f>
        <v>II.D. State Fire Marshal, II.C. Fire Academy, II. H. Building Codes, III.Employee Benefits</v>
      </c>
      <c r="I49" s="232" t="str">
        <f t="shared" si="4"/>
        <v>II. C. Fire Academy</v>
      </c>
      <c r="J49" s="232" t="str">
        <f t="shared" si="4"/>
        <v>I. Administration</v>
      </c>
      <c r="K49" s="232" t="str">
        <f t="shared" si="4"/>
        <v>II.E. Elevators/Amusement, III. Employee Benefits</v>
      </c>
      <c r="L49" s="232" t="str">
        <f t="shared" si="4"/>
        <v>II.D. State Fire Marshal</v>
      </c>
      <c r="M49" s="232" t="str">
        <f t="shared" si="4"/>
        <v>II.C. Fire Academy, III. Employee Benefits</v>
      </c>
      <c r="N49" s="232" t="str">
        <f t="shared" si="4"/>
        <v>II.H.Building Codes, III. Employee Benefits</v>
      </c>
      <c r="O49" s="232" t="str">
        <f t="shared" si="4"/>
        <v>II.C. Fire Academy</v>
      </c>
      <c r="P49" s="232" t="str">
        <f t="shared" si="4"/>
        <v>II. D. State Fire Marshal, III.Employee Benefits</v>
      </c>
      <c r="Q49" s="232" t="str">
        <f t="shared" si="4"/>
        <v>II.F. Prof &amp; Occup, III. Employee Benefits</v>
      </c>
      <c r="R49" s="232" t="str">
        <f t="shared" si="4"/>
        <v>II.D. State Fire Marshal, III. Employee Benefits</v>
      </c>
      <c r="S49" s="232" t="str">
        <f t="shared" si="4"/>
        <v>II.C. Fire Academy, III.Employee Benefits</v>
      </c>
      <c r="T49" s="232" t="str">
        <f t="shared" si="4"/>
        <v>I. Administration</v>
      </c>
      <c r="U49" s="232" t="str">
        <f t="shared" si="4"/>
        <v>I. Administration, II.F. Pol &amp; Occup</v>
      </c>
      <c r="V49" s="232" t="str">
        <f t="shared" si="4"/>
        <v>II. D. State Fire Marshal</v>
      </c>
      <c r="W49" s="232" t="str">
        <f t="shared" si="4"/>
        <v>II. F. Prof &amp; Occup</v>
      </c>
      <c r="X49" s="232" t="str">
        <f t="shared" si="4"/>
        <v>II. F. Prof &amp; Occup</v>
      </c>
      <c r="Y49" s="232" t="str">
        <f t="shared" si="4"/>
        <v>II.D. State Fire Marshal</v>
      </c>
      <c r="Z49" s="232" t="str">
        <f t="shared" si="4"/>
        <v>II. F. Prof &amp; Occup</v>
      </c>
      <c r="AA49" s="232" t="str">
        <f t="shared" si="4"/>
        <v>II.C. Fire Academy</v>
      </c>
      <c r="AB49" s="232" t="str">
        <f t="shared" si="4"/>
        <v>II. F. Prof &amp; Occup</v>
      </c>
      <c r="AC49" s="232" t="str">
        <f t="shared" si="4"/>
        <v xml:space="preserve">II. C. Fire Academy, III.Employee Benefits </v>
      </c>
      <c r="AD49" s="232" t="str">
        <f t="shared" si="4"/>
        <v>II.A. OSHA Voluntary, III. Employee Benefits</v>
      </c>
      <c r="AE49" s="232" t="str">
        <f t="shared" si="4"/>
        <v>II.A. OSHA Voluntary  and II.B. Occupational Safety &amp; Health III. Employee Benefits</v>
      </c>
      <c r="AF49" s="232" t="str">
        <f>AF31</f>
        <v>II.B. Occupational Safety &amp; Health, III. Employee Benefits</v>
      </c>
      <c r="AG49" s="232" t="str">
        <f>AG31</f>
        <v>II.C. Fire Academy, III.Employee Benefits</v>
      </c>
    </row>
    <row r="50" spans="1:33" x14ac:dyDescent="0.2">
      <c r="A50" s="185" t="s">
        <v>109</v>
      </c>
      <c r="B50" s="194" t="s">
        <v>44</v>
      </c>
      <c r="C50" s="260">
        <f>C39</f>
        <v>43552915.050000004</v>
      </c>
      <c r="D50" s="263">
        <f>D39</f>
        <v>1401201.4500000002</v>
      </c>
      <c r="E50" s="263">
        <f>E39</f>
        <v>25000</v>
      </c>
      <c r="F50" s="263">
        <f>F39</f>
        <v>0</v>
      </c>
      <c r="G50" s="263">
        <f>G39</f>
        <v>0</v>
      </c>
      <c r="H50" s="263">
        <f t="shared" ref="H50:AE50" si="5">H39</f>
        <v>14645332</v>
      </c>
      <c r="I50" s="263">
        <f t="shared" si="5"/>
        <v>0</v>
      </c>
      <c r="J50" s="263">
        <f t="shared" si="5"/>
        <v>0</v>
      </c>
      <c r="K50" s="263">
        <f t="shared" si="5"/>
        <v>0</v>
      </c>
      <c r="L50" s="263">
        <f t="shared" si="5"/>
        <v>0</v>
      </c>
      <c r="M50" s="263">
        <f t="shared" si="5"/>
        <v>0</v>
      </c>
      <c r="N50" s="263">
        <f t="shared" si="5"/>
        <v>0</v>
      </c>
      <c r="O50" s="263">
        <f t="shared" si="5"/>
        <v>0</v>
      </c>
      <c r="P50" s="263">
        <f t="shared" si="5"/>
        <v>22145776</v>
      </c>
      <c r="Q50" s="263">
        <f t="shared" si="5"/>
        <v>0</v>
      </c>
      <c r="R50" s="263">
        <f t="shared" si="5"/>
        <v>0</v>
      </c>
      <c r="S50" s="263">
        <f t="shared" si="5"/>
        <v>0</v>
      </c>
      <c r="T50" s="263">
        <f t="shared" si="5"/>
        <v>0</v>
      </c>
      <c r="U50" s="263">
        <f t="shared" si="5"/>
        <v>0</v>
      </c>
      <c r="V50" s="263">
        <f t="shared" si="5"/>
        <v>0</v>
      </c>
      <c r="W50" s="263">
        <f t="shared" si="5"/>
        <v>200000</v>
      </c>
      <c r="X50" s="263">
        <f t="shared" si="5"/>
        <v>100000</v>
      </c>
      <c r="Y50" s="263">
        <f t="shared" si="5"/>
        <v>500000</v>
      </c>
      <c r="Z50" s="263">
        <f t="shared" si="5"/>
        <v>0</v>
      </c>
      <c r="AA50" s="263">
        <f t="shared" si="5"/>
        <v>1247138.6000000001</v>
      </c>
      <c r="AB50" s="263">
        <f t="shared" si="5"/>
        <v>0</v>
      </c>
      <c r="AC50" s="263">
        <f t="shared" si="5"/>
        <v>7970</v>
      </c>
      <c r="AD50" s="263">
        <f t="shared" si="5"/>
        <v>795040</v>
      </c>
      <c r="AE50" s="263">
        <f t="shared" si="5"/>
        <v>2402884</v>
      </c>
      <c r="AF50" s="263">
        <f>AF39</f>
        <v>82573</v>
      </c>
      <c r="AG50" s="263">
        <f>AG39</f>
        <v>0</v>
      </c>
    </row>
    <row r="51" spans="1:33" x14ac:dyDescent="0.2">
      <c r="B51" s="194"/>
      <c r="C51" s="202"/>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row>
    <row r="52" spans="1:33" ht="25.5" x14ac:dyDescent="0.2">
      <c r="B52" s="234" t="s">
        <v>153</v>
      </c>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row>
    <row r="53" spans="1:33" x14ac:dyDescent="0.2">
      <c r="B53" s="235" t="s">
        <v>149</v>
      </c>
      <c r="C53" s="202"/>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row>
    <row r="54" spans="1:33" x14ac:dyDescent="0.2">
      <c r="B54" s="236"/>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row>
    <row r="55" spans="1:33" ht="25.5" x14ac:dyDescent="0.2">
      <c r="A55" s="179"/>
      <c r="B55" s="12" t="s">
        <v>807</v>
      </c>
      <c r="C55" s="23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row>
    <row r="56" spans="1:33" ht="25.5" x14ac:dyDescent="0.2">
      <c r="A56" s="179"/>
      <c r="B56" s="239" t="s">
        <v>808</v>
      </c>
      <c r="C56" s="238" t="s">
        <v>584</v>
      </c>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row>
    <row r="57" spans="1:33" x14ac:dyDescent="0.2">
      <c r="A57" s="179"/>
      <c r="B57" s="240" t="s">
        <v>1177</v>
      </c>
      <c r="C57" s="238">
        <f t="shared" ref="C57:C69" si="6">SUM(D57:DA57)</f>
        <v>487532.63</v>
      </c>
      <c r="D57" s="198"/>
      <c r="E57" s="198"/>
      <c r="F57" s="198"/>
      <c r="G57" s="198"/>
      <c r="H57" s="198">
        <v>453872.59</v>
      </c>
      <c r="I57" s="198"/>
      <c r="J57" s="198"/>
      <c r="K57" s="198"/>
      <c r="L57" s="198"/>
      <c r="M57" s="198"/>
      <c r="N57" s="198"/>
      <c r="O57" s="198"/>
      <c r="P57" s="198">
        <f>19813.66+13494.91</f>
        <v>33308.57</v>
      </c>
      <c r="Q57" s="198"/>
      <c r="R57" s="198"/>
      <c r="S57" s="198"/>
      <c r="T57" s="198"/>
      <c r="U57" s="198"/>
      <c r="V57" s="198"/>
      <c r="W57" s="198"/>
      <c r="X57" s="198"/>
      <c r="Y57" s="198"/>
      <c r="Z57" s="198"/>
      <c r="AA57" s="198"/>
      <c r="AB57" s="198"/>
      <c r="AC57" s="198">
        <v>351.47</v>
      </c>
      <c r="AD57" s="198"/>
      <c r="AE57" s="198"/>
      <c r="AF57" s="198"/>
      <c r="AG57" s="198"/>
    </row>
    <row r="58" spans="1:33" ht="25.5" x14ac:dyDescent="0.2">
      <c r="A58" s="179"/>
      <c r="B58" s="240" t="s">
        <v>809</v>
      </c>
      <c r="C58" s="238">
        <f t="shared" si="6"/>
        <v>536978.74</v>
      </c>
      <c r="D58" s="198"/>
      <c r="E58" s="198"/>
      <c r="F58" s="198"/>
      <c r="G58" s="198"/>
      <c r="H58" s="198">
        <v>501215.31</v>
      </c>
      <c r="I58" s="198"/>
      <c r="J58" s="198"/>
      <c r="K58" s="198"/>
      <c r="L58" s="198"/>
      <c r="M58" s="198"/>
      <c r="N58" s="198"/>
      <c r="O58" s="198"/>
      <c r="P58" s="198">
        <f>21880.39+13494.91</f>
        <v>35375.300000000003</v>
      </c>
      <c r="Q58" s="198"/>
      <c r="R58" s="198"/>
      <c r="S58" s="198"/>
      <c r="T58" s="198"/>
      <c r="U58" s="198"/>
      <c r="V58" s="198"/>
      <c r="W58" s="198"/>
      <c r="X58" s="198"/>
      <c r="Y58" s="198"/>
      <c r="Z58" s="198"/>
      <c r="AA58" s="198"/>
      <c r="AB58" s="198"/>
      <c r="AC58" s="198">
        <v>388.13</v>
      </c>
      <c r="AD58" s="198"/>
      <c r="AE58" s="198"/>
      <c r="AF58" s="198"/>
      <c r="AG58" s="198"/>
    </row>
    <row r="59" spans="1:33" ht="25.5" x14ac:dyDescent="0.2">
      <c r="A59" s="179"/>
      <c r="B59" s="240" t="s">
        <v>810</v>
      </c>
      <c r="C59" s="238">
        <f t="shared" si="6"/>
        <v>1590395.8599999999</v>
      </c>
      <c r="D59" s="198"/>
      <c r="E59" s="198"/>
      <c r="F59" s="198"/>
      <c r="G59" s="198"/>
      <c r="H59" s="198">
        <v>1509821.05</v>
      </c>
      <c r="I59" s="198"/>
      <c r="J59" s="198"/>
      <c r="K59" s="198"/>
      <c r="L59" s="198"/>
      <c r="M59" s="198"/>
      <c r="N59" s="198"/>
      <c r="O59" s="198"/>
      <c r="P59" s="198">
        <f>65910.74+13494.91</f>
        <v>79405.650000000009</v>
      </c>
      <c r="Q59" s="198"/>
      <c r="R59" s="198"/>
      <c r="S59" s="198"/>
      <c r="T59" s="198"/>
      <c r="U59" s="198"/>
      <c r="V59" s="198"/>
      <c r="W59" s="198"/>
      <c r="X59" s="198"/>
      <c r="Y59" s="198"/>
      <c r="Z59" s="198"/>
      <c r="AA59" s="198"/>
      <c r="AB59" s="198"/>
      <c r="AC59" s="198">
        <v>1169.1600000000001</v>
      </c>
      <c r="AD59" s="198"/>
      <c r="AE59" s="198"/>
      <c r="AF59" s="198"/>
      <c r="AG59" s="198"/>
    </row>
    <row r="60" spans="1:33" ht="38.25" x14ac:dyDescent="0.2">
      <c r="A60" s="179"/>
      <c r="B60" s="240" t="s">
        <v>811</v>
      </c>
      <c r="C60" s="238">
        <f t="shared" si="6"/>
        <v>649845.02</v>
      </c>
      <c r="D60" s="198"/>
      <c r="E60" s="198"/>
      <c r="F60" s="198"/>
      <c r="G60" s="198"/>
      <c r="H60" s="198">
        <v>609280.21</v>
      </c>
      <c r="I60" s="198"/>
      <c r="J60" s="198"/>
      <c r="K60" s="198"/>
      <c r="L60" s="198"/>
      <c r="M60" s="198"/>
      <c r="N60" s="198"/>
      <c r="O60" s="198"/>
      <c r="P60" s="198">
        <v>40093</v>
      </c>
      <c r="Q60" s="198"/>
      <c r="R60" s="198"/>
      <c r="S60" s="198"/>
      <c r="T60" s="198"/>
      <c r="U60" s="198"/>
      <c r="V60" s="198"/>
      <c r="W60" s="198"/>
      <c r="X60" s="198"/>
      <c r="Y60" s="198"/>
      <c r="Z60" s="198"/>
      <c r="AA60" s="198"/>
      <c r="AB60" s="198"/>
      <c r="AC60" s="198">
        <v>471.81</v>
      </c>
      <c r="AD60" s="198"/>
      <c r="AE60" s="198"/>
      <c r="AF60" s="198"/>
      <c r="AG60" s="198"/>
    </row>
    <row r="61" spans="1:33" ht="25.5" x14ac:dyDescent="0.2">
      <c r="A61" s="179"/>
      <c r="B61" s="241" t="s">
        <v>812</v>
      </c>
      <c r="C61" s="238" t="s">
        <v>584</v>
      </c>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row>
    <row r="62" spans="1:33" ht="25.5" x14ac:dyDescent="0.2">
      <c r="A62" s="179"/>
      <c r="B62" s="240" t="s">
        <v>813</v>
      </c>
      <c r="C62" s="238">
        <f t="shared" si="6"/>
        <v>256425.96</v>
      </c>
      <c r="D62" s="198"/>
      <c r="E62" s="198"/>
      <c r="F62" s="198"/>
      <c r="G62" s="198"/>
      <c r="H62" s="198">
        <v>232596.84</v>
      </c>
      <c r="I62" s="198"/>
      <c r="J62" s="198"/>
      <c r="K62" s="198"/>
      <c r="L62" s="198"/>
      <c r="M62" s="198"/>
      <c r="N62" s="198"/>
      <c r="O62" s="198"/>
      <c r="P62" s="198">
        <v>23649</v>
      </c>
      <c r="Q62" s="198"/>
      <c r="R62" s="198"/>
      <c r="S62" s="198"/>
      <c r="T62" s="198"/>
      <c r="U62" s="198"/>
      <c r="V62" s="198"/>
      <c r="W62" s="198"/>
      <c r="X62" s="198"/>
      <c r="Y62" s="198"/>
      <c r="Z62" s="198"/>
      <c r="AA62" s="198"/>
      <c r="AB62" s="198"/>
      <c r="AC62" s="198">
        <v>180.12</v>
      </c>
      <c r="AD62" s="198"/>
      <c r="AE62" s="198"/>
      <c r="AF62" s="198"/>
      <c r="AG62" s="198"/>
    </row>
    <row r="63" spans="1:33" ht="25.5" x14ac:dyDescent="0.2">
      <c r="A63" s="179"/>
      <c r="B63" s="240" t="s">
        <v>814</v>
      </c>
      <c r="C63" s="238">
        <f t="shared" si="6"/>
        <v>584274.84</v>
      </c>
      <c r="D63" s="198"/>
      <c r="E63" s="198"/>
      <c r="F63" s="198"/>
      <c r="G63" s="198"/>
      <c r="H63" s="198">
        <v>546499.65</v>
      </c>
      <c r="I63" s="198"/>
      <c r="J63" s="198"/>
      <c r="K63" s="198"/>
      <c r="L63" s="198"/>
      <c r="M63" s="198"/>
      <c r="N63" s="198"/>
      <c r="O63" s="198"/>
      <c r="P63" s="198">
        <v>37352</v>
      </c>
      <c r="Q63" s="198"/>
      <c r="R63" s="198"/>
      <c r="S63" s="198"/>
      <c r="T63" s="198"/>
      <c r="U63" s="198"/>
      <c r="V63" s="198"/>
      <c r="W63" s="198"/>
      <c r="X63" s="198"/>
      <c r="Y63" s="198"/>
      <c r="Z63" s="198"/>
      <c r="AA63" s="198"/>
      <c r="AB63" s="198"/>
      <c r="AC63" s="198">
        <v>423.19</v>
      </c>
      <c r="AD63" s="198"/>
      <c r="AE63" s="198"/>
      <c r="AF63" s="198"/>
      <c r="AG63" s="198"/>
    </row>
    <row r="64" spans="1:33" ht="38.25" x14ac:dyDescent="0.2">
      <c r="A64" s="179"/>
      <c r="B64" s="240" t="s">
        <v>815</v>
      </c>
      <c r="C64" s="238">
        <f t="shared" si="6"/>
        <v>67240.330000000016</v>
      </c>
      <c r="D64" s="198"/>
      <c r="E64" s="198"/>
      <c r="F64" s="198"/>
      <c r="G64" s="198"/>
      <c r="H64" s="198">
        <v>51459.48</v>
      </c>
      <c r="I64" s="198"/>
      <c r="J64" s="198"/>
      <c r="K64" s="198"/>
      <c r="L64" s="198"/>
      <c r="M64" s="198"/>
      <c r="N64" s="198"/>
      <c r="O64" s="198"/>
      <c r="P64" s="198">
        <v>15741</v>
      </c>
      <c r="Q64" s="198"/>
      <c r="R64" s="198"/>
      <c r="S64" s="198"/>
      <c r="T64" s="198"/>
      <c r="U64" s="198"/>
      <c r="V64" s="198"/>
      <c r="W64" s="198"/>
      <c r="X64" s="198"/>
      <c r="Y64" s="198"/>
      <c r="Z64" s="198"/>
      <c r="AA64" s="198"/>
      <c r="AB64" s="198"/>
      <c r="AC64" s="198">
        <v>39.85</v>
      </c>
      <c r="AD64" s="198"/>
      <c r="AE64" s="198"/>
      <c r="AF64" s="198"/>
      <c r="AG64" s="198"/>
    </row>
    <row r="65" spans="1:33" ht="25.5" x14ac:dyDescent="0.2">
      <c r="A65" s="179"/>
      <c r="B65" s="241" t="s">
        <v>816</v>
      </c>
      <c r="C65" s="238" t="s">
        <v>584</v>
      </c>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row>
    <row r="66" spans="1:33" ht="51" x14ac:dyDescent="0.2">
      <c r="A66" s="179"/>
      <c r="B66" s="240" t="s">
        <v>817</v>
      </c>
      <c r="C66" s="238">
        <f t="shared" si="6"/>
        <v>1443132.07</v>
      </c>
      <c r="D66" s="198"/>
      <c r="E66" s="198"/>
      <c r="F66" s="198"/>
      <c r="G66" s="198"/>
      <c r="H66" s="198">
        <v>1368822.09</v>
      </c>
      <c r="I66" s="198"/>
      <c r="J66" s="198"/>
      <c r="K66" s="198"/>
      <c r="L66" s="198"/>
      <c r="M66" s="198"/>
      <c r="N66" s="198"/>
      <c r="O66" s="198"/>
      <c r="P66" s="198">
        <v>73250</v>
      </c>
      <c r="Q66" s="198"/>
      <c r="R66" s="198"/>
      <c r="S66" s="198"/>
      <c r="T66" s="198"/>
      <c r="U66" s="198"/>
      <c r="V66" s="198"/>
      <c r="W66" s="198"/>
      <c r="X66" s="198"/>
      <c r="Y66" s="198"/>
      <c r="Z66" s="198"/>
      <c r="AA66" s="198"/>
      <c r="AB66" s="198"/>
      <c r="AC66" s="198">
        <v>1059.98</v>
      </c>
      <c r="AD66" s="198"/>
      <c r="AE66" s="198"/>
      <c r="AF66" s="198"/>
      <c r="AG66" s="198"/>
    </row>
    <row r="67" spans="1:33" ht="25.5" x14ac:dyDescent="0.2">
      <c r="A67" s="179"/>
      <c r="B67" s="175" t="s">
        <v>818</v>
      </c>
      <c r="C67" s="238">
        <f t="shared" si="6"/>
        <v>1890114.46</v>
      </c>
      <c r="D67" s="198"/>
      <c r="E67" s="198"/>
      <c r="F67" s="198"/>
      <c r="G67" s="198"/>
      <c r="H67" s="198">
        <v>1021985.21</v>
      </c>
      <c r="I67" s="198"/>
      <c r="J67" s="198"/>
      <c r="K67" s="198"/>
      <c r="L67" s="198"/>
      <c r="M67" s="198"/>
      <c r="N67" s="198"/>
      <c r="O67" s="198"/>
      <c r="P67" s="198">
        <v>58109</v>
      </c>
      <c r="Q67" s="198"/>
      <c r="R67" s="198"/>
      <c r="S67" s="198"/>
      <c r="T67" s="198"/>
      <c r="U67" s="198"/>
      <c r="V67" s="198"/>
      <c r="W67" s="198"/>
      <c r="X67" s="198"/>
      <c r="Y67" s="198"/>
      <c r="Z67" s="198"/>
      <c r="AA67" s="198">
        <v>809228.85</v>
      </c>
      <c r="AB67" s="198"/>
      <c r="AC67" s="198">
        <v>791.4</v>
      </c>
      <c r="AD67" s="198"/>
      <c r="AE67" s="198"/>
      <c r="AF67" s="198"/>
      <c r="AG67" s="198"/>
    </row>
    <row r="68" spans="1:33" ht="38.25" x14ac:dyDescent="0.2">
      <c r="A68" s="179"/>
      <c r="B68" s="175" t="s">
        <v>819</v>
      </c>
      <c r="C68" s="238">
        <f t="shared" si="6"/>
        <v>3918663.0100000002</v>
      </c>
      <c r="D68" s="198"/>
      <c r="E68" s="198"/>
      <c r="F68" s="198"/>
      <c r="G68" s="198"/>
      <c r="H68" s="198">
        <v>3739045.6</v>
      </c>
      <c r="I68" s="198"/>
      <c r="J68" s="198"/>
      <c r="K68" s="198"/>
      <c r="L68" s="198"/>
      <c r="M68" s="198"/>
      <c r="N68" s="198"/>
      <c r="O68" s="198"/>
      <c r="P68" s="198">
        <v>176722</v>
      </c>
      <c r="Q68" s="198"/>
      <c r="R68" s="198"/>
      <c r="S68" s="198"/>
      <c r="T68" s="198"/>
      <c r="U68" s="198"/>
      <c r="V68" s="198"/>
      <c r="W68" s="198"/>
      <c r="X68" s="198"/>
      <c r="Y68" s="198"/>
      <c r="Z68" s="198"/>
      <c r="AA68" s="198"/>
      <c r="AB68" s="198"/>
      <c r="AC68" s="198">
        <v>2895.41</v>
      </c>
      <c r="AD68" s="198"/>
      <c r="AE68" s="198"/>
      <c r="AF68" s="198"/>
      <c r="AG68" s="198"/>
    </row>
    <row r="69" spans="1:33" ht="38.25" x14ac:dyDescent="0.2">
      <c r="A69" s="179"/>
      <c r="B69" s="175" t="s">
        <v>820</v>
      </c>
      <c r="C69" s="238">
        <f t="shared" si="6"/>
        <v>282223.62</v>
      </c>
      <c r="D69" s="198"/>
      <c r="E69" s="198"/>
      <c r="F69" s="198"/>
      <c r="G69" s="198"/>
      <c r="H69" s="198">
        <v>257297.38</v>
      </c>
      <c r="I69" s="198" t="s">
        <v>584</v>
      </c>
      <c r="J69" s="198"/>
      <c r="K69" s="198"/>
      <c r="L69" s="198"/>
      <c r="M69" s="198"/>
      <c r="N69" s="198"/>
      <c r="O69" s="198"/>
      <c r="P69" s="198">
        <v>24727</v>
      </c>
      <c r="Q69" s="198" t="s">
        <v>584</v>
      </c>
      <c r="R69" s="198"/>
      <c r="S69" s="198"/>
      <c r="T69" s="198"/>
      <c r="U69" s="198"/>
      <c r="V69" s="198"/>
      <c r="W69" s="198"/>
      <c r="X69" s="198"/>
      <c r="Y69" s="198"/>
      <c r="Z69" s="198"/>
      <c r="AA69" s="198"/>
      <c r="AB69" s="198"/>
      <c r="AC69" s="198">
        <v>199.24</v>
      </c>
      <c r="AD69" s="198"/>
      <c r="AE69" s="198"/>
      <c r="AF69" s="198"/>
      <c r="AG69" s="198"/>
    </row>
    <row r="70" spans="1:33" ht="38.25" x14ac:dyDescent="0.2">
      <c r="A70" s="179"/>
      <c r="B70" s="12" t="s">
        <v>956</v>
      </c>
      <c r="C70" s="238" t="s">
        <v>584</v>
      </c>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row>
    <row r="71" spans="1:33" ht="51" x14ac:dyDescent="0.2">
      <c r="A71" s="179"/>
      <c r="B71" s="241" t="s">
        <v>821</v>
      </c>
      <c r="C71" s="238" t="s">
        <v>584</v>
      </c>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row>
    <row r="72" spans="1:33" ht="38.25" x14ac:dyDescent="0.2">
      <c r="A72" s="179"/>
      <c r="B72" s="240" t="s">
        <v>822</v>
      </c>
      <c r="C72" s="238">
        <f t="shared" ref="C72:C84" si="7">SUM(D72:DA72)</f>
        <v>6655022.8399999999</v>
      </c>
      <c r="D72" s="198"/>
      <c r="E72" s="198"/>
      <c r="F72" s="198"/>
      <c r="G72" s="198"/>
      <c r="H72" s="198">
        <v>552214.84</v>
      </c>
      <c r="I72" s="198"/>
      <c r="J72" s="198"/>
      <c r="K72" s="198"/>
      <c r="L72" s="198"/>
      <c r="M72" s="198"/>
      <c r="N72" s="198"/>
      <c r="O72" s="198"/>
      <c r="P72" s="198">
        <v>6102808</v>
      </c>
      <c r="Q72" s="198"/>
      <c r="R72" s="198"/>
      <c r="S72" s="198"/>
      <c r="T72" s="198"/>
      <c r="U72" s="198"/>
      <c r="V72" s="198"/>
      <c r="W72" s="198"/>
      <c r="X72" s="198"/>
      <c r="Y72" s="198"/>
      <c r="Z72" s="198"/>
      <c r="AA72" s="198"/>
      <c r="AB72" s="198"/>
      <c r="AC72" s="198"/>
      <c r="AD72" s="198"/>
      <c r="AE72" s="198"/>
      <c r="AF72" s="198"/>
      <c r="AG72" s="198"/>
    </row>
    <row r="73" spans="1:33" ht="25.5" x14ac:dyDescent="0.2">
      <c r="A73" s="179"/>
      <c r="B73" s="240" t="s">
        <v>957</v>
      </c>
      <c r="C73" s="238">
        <f t="shared" si="7"/>
        <v>2303676.91</v>
      </c>
      <c r="D73" s="198"/>
      <c r="E73" s="198"/>
      <c r="F73" s="198"/>
      <c r="G73" s="198"/>
      <c r="H73" s="198">
        <v>190418.91</v>
      </c>
      <c r="I73" s="198"/>
      <c r="J73" s="198"/>
      <c r="K73" s="198"/>
      <c r="L73" s="198"/>
      <c r="M73" s="198"/>
      <c r="N73" s="198"/>
      <c r="O73" s="198"/>
      <c r="P73" s="198">
        <v>2113258</v>
      </c>
      <c r="Q73" s="198"/>
      <c r="R73" s="198"/>
      <c r="S73" s="198"/>
      <c r="T73" s="198"/>
      <c r="U73" s="198"/>
      <c r="V73" s="198"/>
      <c r="W73" s="198"/>
      <c r="X73" s="198"/>
      <c r="Y73" s="198"/>
      <c r="Z73" s="198"/>
      <c r="AA73" s="198"/>
      <c r="AB73" s="198"/>
      <c r="AC73" s="198"/>
      <c r="AD73" s="198"/>
      <c r="AE73" s="198"/>
      <c r="AF73" s="198"/>
      <c r="AG73" s="198"/>
    </row>
    <row r="74" spans="1:33" ht="25.5" x14ac:dyDescent="0.2">
      <c r="A74" s="179"/>
      <c r="B74" s="240" t="s">
        <v>823</v>
      </c>
      <c r="C74" s="238">
        <f t="shared" si="7"/>
        <v>1158585.46</v>
      </c>
      <c r="D74" s="198"/>
      <c r="E74" s="198"/>
      <c r="F74" s="198"/>
      <c r="G74" s="198"/>
      <c r="H74" s="198">
        <v>95209.46</v>
      </c>
      <c r="I74" s="198"/>
      <c r="J74" s="198"/>
      <c r="K74" s="198"/>
      <c r="L74" s="198"/>
      <c r="M74" s="198"/>
      <c r="N74" s="198"/>
      <c r="O74" s="198"/>
      <c r="P74" s="198">
        <v>1063376</v>
      </c>
      <c r="Q74" s="198"/>
      <c r="R74" s="198"/>
      <c r="S74" s="198"/>
      <c r="T74" s="198"/>
      <c r="U74" s="198"/>
      <c r="V74" s="198"/>
      <c r="W74" s="198"/>
      <c r="X74" s="198"/>
      <c r="Y74" s="198"/>
      <c r="Z74" s="198"/>
      <c r="AA74" s="198"/>
      <c r="AB74" s="198"/>
      <c r="AC74" s="198"/>
      <c r="AD74" s="198"/>
      <c r="AE74" s="198"/>
      <c r="AF74" s="198"/>
      <c r="AG74" s="198"/>
    </row>
    <row r="75" spans="1:33" ht="51" x14ac:dyDescent="0.2">
      <c r="A75" s="179"/>
      <c r="B75" s="240" t="s">
        <v>824</v>
      </c>
      <c r="C75" s="238">
        <f t="shared" si="7"/>
        <v>1158585.46</v>
      </c>
      <c r="D75" s="198"/>
      <c r="E75" s="198"/>
      <c r="F75" s="198"/>
      <c r="G75" s="198"/>
      <c r="H75" s="198">
        <v>95209.46</v>
      </c>
      <c r="I75" s="198"/>
      <c r="J75" s="198"/>
      <c r="K75" s="198"/>
      <c r="L75" s="198"/>
      <c r="M75" s="198"/>
      <c r="N75" s="198"/>
      <c r="O75" s="198"/>
      <c r="P75" s="198">
        <v>1063376</v>
      </c>
      <c r="Q75" s="198"/>
      <c r="R75" s="198"/>
      <c r="S75" s="198"/>
      <c r="T75" s="198"/>
      <c r="U75" s="198"/>
      <c r="V75" s="198"/>
      <c r="W75" s="198"/>
      <c r="X75" s="198"/>
      <c r="Y75" s="198"/>
      <c r="Z75" s="198"/>
      <c r="AA75" s="198"/>
      <c r="AB75" s="198"/>
      <c r="AC75" s="198"/>
      <c r="AD75" s="198"/>
      <c r="AE75" s="198"/>
      <c r="AF75" s="198"/>
      <c r="AG75" s="198"/>
    </row>
    <row r="76" spans="1:33" ht="25.5" x14ac:dyDescent="0.2">
      <c r="A76" s="179"/>
      <c r="B76" s="175" t="s">
        <v>1188</v>
      </c>
      <c r="C76" s="238">
        <f t="shared" si="7"/>
        <v>417704.89</v>
      </c>
      <c r="D76" s="198"/>
      <c r="E76" s="198"/>
      <c r="F76" s="198"/>
      <c r="G76" s="198"/>
      <c r="H76" s="198">
        <v>19041.89</v>
      </c>
      <c r="I76" s="198" t="s">
        <v>584</v>
      </c>
      <c r="J76" s="198"/>
      <c r="K76" s="198"/>
      <c r="L76" s="198"/>
      <c r="M76" s="198"/>
      <c r="N76" s="198"/>
      <c r="O76" s="198"/>
      <c r="P76" s="198">
        <v>223471</v>
      </c>
      <c r="Q76" s="198" t="s">
        <v>584</v>
      </c>
      <c r="R76" s="198"/>
      <c r="S76" s="198"/>
      <c r="T76" s="198"/>
      <c r="U76" s="198"/>
      <c r="V76" s="198"/>
      <c r="W76" s="198">
        <v>126272</v>
      </c>
      <c r="X76" s="198">
        <v>48920</v>
      </c>
      <c r="Y76" s="198"/>
      <c r="Z76" s="198"/>
      <c r="AA76" s="198"/>
      <c r="AB76" s="198"/>
      <c r="AC76" s="198"/>
      <c r="AD76" s="198"/>
      <c r="AE76" s="198"/>
      <c r="AF76" s="198"/>
      <c r="AG76" s="198"/>
    </row>
    <row r="77" spans="1:33" ht="25.5" x14ac:dyDescent="0.2">
      <c r="A77" s="179"/>
      <c r="B77" s="241" t="s">
        <v>1189</v>
      </c>
      <c r="C77" s="238" t="s">
        <v>584</v>
      </c>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row>
    <row r="78" spans="1:33" ht="38.25" x14ac:dyDescent="0.2">
      <c r="A78" s="179"/>
      <c r="B78" s="240" t="s">
        <v>826</v>
      </c>
      <c r="C78" s="238">
        <f t="shared" si="7"/>
        <v>204056</v>
      </c>
      <c r="D78" s="198"/>
      <c r="E78" s="198"/>
      <c r="F78" s="198"/>
      <c r="G78" s="198"/>
      <c r="H78" s="198"/>
      <c r="I78" s="198"/>
      <c r="J78" s="198"/>
      <c r="K78" s="198"/>
      <c r="L78" s="198"/>
      <c r="M78" s="198"/>
      <c r="N78" s="198"/>
      <c r="O78" s="198"/>
      <c r="P78" s="198">
        <v>204056</v>
      </c>
      <c r="Q78" s="198"/>
      <c r="R78" s="198"/>
      <c r="S78" s="198"/>
      <c r="T78" s="198"/>
      <c r="U78" s="198"/>
      <c r="V78" s="198"/>
      <c r="W78" s="198"/>
      <c r="X78" s="198"/>
      <c r="Y78" s="198"/>
      <c r="Z78" s="198"/>
      <c r="AA78" s="198"/>
      <c r="AB78" s="198"/>
      <c r="AC78" s="198"/>
      <c r="AD78" s="198"/>
      <c r="AE78" s="198"/>
      <c r="AF78" s="198"/>
      <c r="AG78" s="198"/>
    </row>
    <row r="79" spans="1:33" ht="51" x14ac:dyDescent="0.2">
      <c r="A79" s="179"/>
      <c r="B79" s="240" t="s">
        <v>958</v>
      </c>
      <c r="C79" s="238">
        <f t="shared" si="7"/>
        <v>394618</v>
      </c>
      <c r="D79" s="198"/>
      <c r="E79" s="198"/>
      <c r="F79" s="198"/>
      <c r="G79" s="198"/>
      <c r="H79" s="198"/>
      <c r="I79" s="198"/>
      <c r="J79" s="198"/>
      <c r="K79" s="198"/>
      <c r="L79" s="198"/>
      <c r="M79" s="198"/>
      <c r="N79" s="198"/>
      <c r="O79" s="198"/>
      <c r="P79" s="198">
        <v>394618</v>
      </c>
      <c r="Q79" s="198"/>
      <c r="R79" s="198"/>
      <c r="S79" s="198"/>
      <c r="T79" s="198"/>
      <c r="U79" s="198"/>
      <c r="V79" s="198"/>
      <c r="W79" s="198"/>
      <c r="X79" s="198"/>
      <c r="Y79" s="198"/>
      <c r="Z79" s="198"/>
      <c r="AA79" s="198"/>
      <c r="AB79" s="198"/>
      <c r="AC79" s="198"/>
      <c r="AD79" s="198"/>
      <c r="AE79" s="198"/>
      <c r="AF79" s="198"/>
      <c r="AG79" s="198"/>
    </row>
    <row r="80" spans="1:33" ht="38.25" x14ac:dyDescent="0.2">
      <c r="A80" s="179"/>
      <c r="B80" s="240" t="s">
        <v>1190</v>
      </c>
      <c r="C80" s="238">
        <f t="shared" si="7"/>
        <v>204056</v>
      </c>
      <c r="D80" s="198"/>
      <c r="E80" s="198"/>
      <c r="F80" s="198"/>
      <c r="G80" s="198"/>
      <c r="H80" s="198"/>
      <c r="I80" s="198"/>
      <c r="J80" s="198"/>
      <c r="K80" s="198"/>
      <c r="L80" s="198"/>
      <c r="M80" s="198"/>
      <c r="N80" s="198"/>
      <c r="O80" s="198"/>
      <c r="P80" s="198">
        <v>204056</v>
      </c>
      <c r="Q80" s="198"/>
      <c r="R80" s="198"/>
      <c r="S80" s="198"/>
      <c r="T80" s="198"/>
      <c r="U80" s="198"/>
      <c r="V80" s="198"/>
      <c r="W80" s="198"/>
      <c r="X80" s="198"/>
      <c r="Y80" s="198"/>
      <c r="Z80" s="198"/>
      <c r="AA80" s="198"/>
      <c r="AB80" s="198"/>
      <c r="AC80" s="198"/>
      <c r="AD80" s="198"/>
      <c r="AE80" s="198"/>
      <c r="AF80" s="198"/>
      <c r="AG80" s="198"/>
    </row>
    <row r="81" spans="1:33" ht="51" x14ac:dyDescent="0.2">
      <c r="A81" s="179"/>
      <c r="B81" s="241" t="s">
        <v>1191</v>
      </c>
      <c r="C81" s="238" t="s">
        <v>584</v>
      </c>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row>
    <row r="82" spans="1:33" ht="25.5" x14ac:dyDescent="0.2">
      <c r="A82" s="179"/>
      <c r="B82" s="240" t="s">
        <v>828</v>
      </c>
      <c r="C82" s="238">
        <f t="shared" si="7"/>
        <v>394618</v>
      </c>
      <c r="D82" s="198"/>
      <c r="E82" s="198"/>
      <c r="F82" s="198"/>
      <c r="G82" s="198"/>
      <c r="H82" s="198"/>
      <c r="I82" s="198"/>
      <c r="J82" s="198"/>
      <c r="K82" s="198"/>
      <c r="L82" s="198"/>
      <c r="M82" s="198"/>
      <c r="N82" s="198"/>
      <c r="O82" s="198"/>
      <c r="P82" s="198">
        <v>394618</v>
      </c>
      <c r="Q82" s="198"/>
      <c r="R82" s="198"/>
      <c r="S82" s="198"/>
      <c r="T82" s="198"/>
      <c r="U82" s="198"/>
      <c r="V82" s="198"/>
      <c r="W82" s="198"/>
      <c r="X82" s="198"/>
      <c r="Y82" s="198"/>
      <c r="Z82" s="198"/>
      <c r="AA82" s="198"/>
      <c r="AB82" s="198"/>
      <c r="AC82" s="198"/>
      <c r="AD82" s="198"/>
      <c r="AE82" s="198"/>
      <c r="AF82" s="198"/>
      <c r="AG82" s="198"/>
    </row>
    <row r="83" spans="1:33" ht="25.5" x14ac:dyDescent="0.2">
      <c r="A83" s="179"/>
      <c r="B83" s="240" t="s">
        <v>829</v>
      </c>
      <c r="C83" s="238">
        <f t="shared" si="7"/>
        <v>1919111</v>
      </c>
      <c r="D83" s="198"/>
      <c r="E83" s="198"/>
      <c r="F83" s="198"/>
      <c r="G83" s="198"/>
      <c r="H83" s="198"/>
      <c r="I83" s="198"/>
      <c r="J83" s="198"/>
      <c r="K83" s="198"/>
      <c r="L83" s="198"/>
      <c r="M83" s="198"/>
      <c r="N83" s="198"/>
      <c r="O83" s="198"/>
      <c r="P83" s="198">
        <v>1919111</v>
      </c>
      <c r="Q83" s="198"/>
      <c r="R83" s="198"/>
      <c r="S83" s="198"/>
      <c r="T83" s="198"/>
      <c r="U83" s="198"/>
      <c r="V83" s="198"/>
      <c r="W83" s="198"/>
      <c r="X83" s="198"/>
      <c r="Y83" s="198"/>
      <c r="Z83" s="198"/>
      <c r="AA83" s="198"/>
      <c r="AB83" s="198"/>
      <c r="AC83" s="198"/>
      <c r="AD83" s="198"/>
      <c r="AE83" s="198"/>
      <c r="AF83" s="198"/>
      <c r="AG83" s="198"/>
    </row>
    <row r="84" spans="1:33" ht="38.25" x14ac:dyDescent="0.2">
      <c r="A84" s="179"/>
      <c r="B84" s="240" t="s">
        <v>1178</v>
      </c>
      <c r="C84" s="238">
        <f t="shared" si="7"/>
        <v>204056</v>
      </c>
      <c r="D84" s="198"/>
      <c r="E84" s="198"/>
      <c r="F84" s="198"/>
      <c r="G84" s="198"/>
      <c r="H84" s="198"/>
      <c r="I84" s="198"/>
      <c r="J84" s="198"/>
      <c r="K84" s="198"/>
      <c r="L84" s="198"/>
      <c r="M84" s="198"/>
      <c r="N84" s="198"/>
      <c r="O84" s="198"/>
      <c r="P84" s="198">
        <v>204056</v>
      </c>
      <c r="Q84" s="198" t="s">
        <v>584</v>
      </c>
      <c r="R84" s="198"/>
      <c r="S84" s="198"/>
      <c r="T84" s="198"/>
      <c r="U84" s="198"/>
      <c r="V84" s="198"/>
      <c r="W84" s="198"/>
      <c r="X84" s="198"/>
      <c r="Y84" s="198"/>
      <c r="Z84" s="198"/>
      <c r="AA84" s="198"/>
      <c r="AB84" s="198"/>
      <c r="AC84" s="198"/>
      <c r="AD84" s="198"/>
      <c r="AE84" s="198"/>
      <c r="AF84" s="198"/>
      <c r="AG84" s="198"/>
    </row>
    <row r="85" spans="1:33" ht="25.5" x14ac:dyDescent="0.2">
      <c r="A85" s="179"/>
      <c r="B85" s="12" t="s">
        <v>830</v>
      </c>
      <c r="C85" s="23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row>
    <row r="86" spans="1:33" ht="25.5" x14ac:dyDescent="0.2">
      <c r="A86" s="179"/>
      <c r="B86" s="241" t="s">
        <v>831</v>
      </c>
      <c r="C86" s="238" t="s">
        <v>584</v>
      </c>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row>
    <row r="87" spans="1:33" ht="25.5" x14ac:dyDescent="0.2">
      <c r="A87" s="179"/>
      <c r="B87" s="240" t="s">
        <v>1179</v>
      </c>
      <c r="C87" s="238">
        <f t="shared" ref="C87:C95" si="8">SUM(D87:DA87)</f>
        <v>283975.15000000002</v>
      </c>
      <c r="D87" s="198">
        <f>61832.75+4098.7+4128.63</f>
        <v>70060.08</v>
      </c>
      <c r="E87" s="198"/>
      <c r="F87" s="198"/>
      <c r="G87" s="198"/>
      <c r="H87" s="198"/>
      <c r="I87" s="198"/>
      <c r="J87" s="198"/>
      <c r="K87" s="198"/>
      <c r="L87" s="198"/>
      <c r="M87" s="198"/>
      <c r="N87" s="198"/>
      <c r="O87" s="198"/>
      <c r="P87" s="198">
        <v>51436</v>
      </c>
      <c r="Q87" s="198"/>
      <c r="R87" s="198"/>
      <c r="S87" s="198"/>
      <c r="T87" s="198"/>
      <c r="U87" s="198"/>
      <c r="V87" s="198"/>
      <c r="W87" s="198"/>
      <c r="X87" s="198"/>
      <c r="Y87" s="198"/>
      <c r="Z87" s="198"/>
      <c r="AA87" s="198"/>
      <c r="AB87" s="198"/>
      <c r="AC87" s="198"/>
      <c r="AD87" s="198">
        <v>39752.01</v>
      </c>
      <c r="AE87" s="198">
        <v>118598.43</v>
      </c>
      <c r="AF87" s="198">
        <v>4128.63</v>
      </c>
      <c r="AG87" s="198"/>
    </row>
    <row r="88" spans="1:33" x14ac:dyDescent="0.2">
      <c r="A88" s="179"/>
      <c r="B88" s="240" t="s">
        <v>1180</v>
      </c>
      <c r="C88" s="238">
        <f t="shared" si="8"/>
        <v>175782.5</v>
      </c>
      <c r="D88" s="198">
        <f>37099.65+2459.22+2477.18</f>
        <v>42036.05</v>
      </c>
      <c r="E88" s="198"/>
      <c r="F88" s="198"/>
      <c r="G88" s="198"/>
      <c r="H88" s="198"/>
      <c r="I88" s="198"/>
      <c r="J88" s="198"/>
      <c r="K88" s="198"/>
      <c r="L88" s="198"/>
      <c r="M88" s="198"/>
      <c r="N88" s="198"/>
      <c r="O88" s="198"/>
      <c r="P88" s="198">
        <v>36259</v>
      </c>
      <c r="Q88" s="198"/>
      <c r="R88" s="198"/>
      <c r="S88" s="198"/>
      <c r="T88" s="198"/>
      <c r="U88" s="198"/>
      <c r="V88" s="198"/>
      <c r="W88" s="198"/>
      <c r="X88" s="198"/>
      <c r="Y88" s="198"/>
      <c r="Z88" s="198"/>
      <c r="AA88" s="198"/>
      <c r="AB88" s="198"/>
      <c r="AC88" s="198"/>
      <c r="AD88" s="198">
        <v>23851.21</v>
      </c>
      <c r="AE88" s="198">
        <v>71159.06</v>
      </c>
      <c r="AF88" s="198">
        <v>2477.1799999999998</v>
      </c>
      <c r="AG88" s="198"/>
    </row>
    <row r="89" spans="1:33" ht="25.5" x14ac:dyDescent="0.2">
      <c r="A89" s="179"/>
      <c r="B89" s="240" t="s">
        <v>1181</v>
      </c>
      <c r="C89" s="238">
        <f t="shared" si="8"/>
        <v>121686.65999999999</v>
      </c>
      <c r="D89" s="198">
        <f>24733.1+1639.48+1651.45</f>
        <v>28024.03</v>
      </c>
      <c r="E89" s="198"/>
      <c r="F89" s="198"/>
      <c r="G89" s="198"/>
      <c r="H89" s="198"/>
      <c r="I89" s="198"/>
      <c r="J89" s="198"/>
      <c r="K89" s="198"/>
      <c r="L89" s="198"/>
      <c r="M89" s="198"/>
      <c r="N89" s="198"/>
      <c r="O89" s="198"/>
      <c r="P89" s="198">
        <v>28671</v>
      </c>
      <c r="Q89" s="198"/>
      <c r="R89" s="198"/>
      <c r="S89" s="198"/>
      <c r="T89" s="198"/>
      <c r="U89" s="198"/>
      <c r="V89" s="198"/>
      <c r="W89" s="198"/>
      <c r="X89" s="198"/>
      <c r="Y89" s="198"/>
      <c r="Z89" s="198"/>
      <c r="AA89" s="198"/>
      <c r="AB89" s="198"/>
      <c r="AC89" s="198"/>
      <c r="AD89" s="198">
        <v>15900.81</v>
      </c>
      <c r="AE89" s="198">
        <v>47439.37</v>
      </c>
      <c r="AF89" s="198">
        <v>1651.45</v>
      </c>
      <c r="AG89" s="198"/>
    </row>
    <row r="90" spans="1:33" ht="25.5" x14ac:dyDescent="0.2">
      <c r="A90" s="179"/>
      <c r="B90" s="241" t="s">
        <v>1192</v>
      </c>
      <c r="C90" s="238" t="s">
        <v>584</v>
      </c>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row>
    <row r="91" spans="1:33" ht="25.5" x14ac:dyDescent="0.2">
      <c r="A91" s="179"/>
      <c r="B91" s="240" t="s">
        <v>1182</v>
      </c>
      <c r="C91" s="238">
        <f t="shared" si="8"/>
        <v>1636373.8499999999</v>
      </c>
      <c r="D91" s="198">
        <f>370996.48+24592.2+24771.76</f>
        <v>420360.44</v>
      </c>
      <c r="E91" s="198"/>
      <c r="F91" s="198"/>
      <c r="G91" s="198"/>
      <c r="H91" s="198"/>
      <c r="I91" s="198"/>
      <c r="J91" s="198"/>
      <c r="K91" s="198"/>
      <c r="L91" s="198"/>
      <c r="M91" s="198"/>
      <c r="N91" s="198"/>
      <c r="O91" s="198"/>
      <c r="P91" s="198">
        <v>241139</v>
      </c>
      <c r="Q91" s="198"/>
      <c r="R91" s="198"/>
      <c r="S91" s="198"/>
      <c r="T91" s="198"/>
      <c r="U91" s="198"/>
      <c r="V91" s="198"/>
      <c r="W91" s="198"/>
      <c r="X91" s="198"/>
      <c r="Y91" s="198"/>
      <c r="Z91" s="198"/>
      <c r="AA91" s="198"/>
      <c r="AB91" s="198"/>
      <c r="AC91" s="198"/>
      <c r="AD91" s="198">
        <v>238512.08</v>
      </c>
      <c r="AE91" s="198">
        <v>711590.55</v>
      </c>
      <c r="AF91" s="198">
        <v>24771.78</v>
      </c>
      <c r="AG91" s="198"/>
    </row>
    <row r="92" spans="1:33" ht="25.5" x14ac:dyDescent="0.2">
      <c r="A92" s="179"/>
      <c r="B92" s="241" t="s">
        <v>833</v>
      </c>
      <c r="C92" s="238">
        <f t="shared" si="8"/>
        <v>1095414.56</v>
      </c>
      <c r="D92" s="198">
        <f>247330.99+16394.8+16514.5</f>
        <v>280240.28999999998</v>
      </c>
      <c r="E92" s="198"/>
      <c r="F92" s="198"/>
      <c r="G92" s="198"/>
      <c r="H92" s="198"/>
      <c r="I92" s="198"/>
      <c r="J92" s="198"/>
      <c r="K92" s="198"/>
      <c r="L92" s="198"/>
      <c r="M92" s="198"/>
      <c r="N92" s="198"/>
      <c r="O92" s="198"/>
      <c r="P92" s="198">
        <v>165258</v>
      </c>
      <c r="Q92" s="198"/>
      <c r="R92" s="198"/>
      <c r="S92" s="198"/>
      <c r="T92" s="198"/>
      <c r="U92" s="198"/>
      <c r="V92" s="198"/>
      <c r="W92" s="198"/>
      <c r="X92" s="198"/>
      <c r="Y92" s="198"/>
      <c r="Z92" s="198"/>
      <c r="AA92" s="198"/>
      <c r="AB92" s="198"/>
      <c r="AC92" s="198"/>
      <c r="AD92" s="198">
        <v>159008.04999999999</v>
      </c>
      <c r="AE92" s="198">
        <v>474393.7</v>
      </c>
      <c r="AF92" s="198">
        <v>16514.52</v>
      </c>
      <c r="AG92" s="198"/>
    </row>
    <row r="93" spans="1:33" ht="25.5" x14ac:dyDescent="0.2">
      <c r="A93" s="179"/>
      <c r="B93" s="240" t="s">
        <v>834</v>
      </c>
      <c r="C93" s="238">
        <f t="shared" si="8"/>
        <v>175782.5</v>
      </c>
      <c r="D93" s="198">
        <f>37099.65+2459.22+2477.18</f>
        <v>42036.05</v>
      </c>
      <c r="E93" s="198"/>
      <c r="F93" s="198"/>
      <c r="G93" s="198"/>
      <c r="H93" s="198"/>
      <c r="I93" s="198"/>
      <c r="J93" s="198"/>
      <c r="K93" s="198"/>
      <c r="L93" s="198"/>
      <c r="M93" s="198"/>
      <c r="N93" s="198"/>
      <c r="O93" s="198"/>
      <c r="P93" s="198">
        <v>36259</v>
      </c>
      <c r="Q93" s="198"/>
      <c r="R93" s="198"/>
      <c r="S93" s="198"/>
      <c r="T93" s="198"/>
      <c r="U93" s="198"/>
      <c r="V93" s="198"/>
      <c r="W93" s="198"/>
      <c r="X93" s="198"/>
      <c r="Y93" s="198"/>
      <c r="Z93" s="198"/>
      <c r="AA93" s="198"/>
      <c r="AB93" s="198"/>
      <c r="AC93" s="198"/>
      <c r="AD93" s="198">
        <v>23851.21</v>
      </c>
      <c r="AE93" s="198">
        <v>71159.06</v>
      </c>
      <c r="AF93" s="198">
        <v>2477.1799999999998</v>
      </c>
      <c r="AG93" s="198"/>
    </row>
    <row r="94" spans="1:33" ht="25.5" x14ac:dyDescent="0.2">
      <c r="A94" s="179"/>
      <c r="B94" s="241" t="s">
        <v>835</v>
      </c>
      <c r="C94" s="238" t="s">
        <v>584</v>
      </c>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row>
    <row r="95" spans="1:33" x14ac:dyDescent="0.2">
      <c r="A95" s="179"/>
      <c r="B95" s="175" t="s">
        <v>836</v>
      </c>
      <c r="C95" s="238">
        <f t="shared" si="8"/>
        <v>283975.15000000002</v>
      </c>
      <c r="D95" s="198">
        <f>61832.75+4098.7+4128.63</f>
        <v>70060.08</v>
      </c>
      <c r="E95" s="198"/>
      <c r="F95" s="198"/>
      <c r="G95" s="198"/>
      <c r="H95" s="198"/>
      <c r="I95" s="198"/>
      <c r="J95" s="198"/>
      <c r="K95" s="198"/>
      <c r="L95" s="198"/>
      <c r="M95" s="198"/>
      <c r="N95" s="198"/>
      <c r="O95" s="198"/>
      <c r="P95" s="198">
        <v>51436</v>
      </c>
      <c r="Q95" s="198"/>
      <c r="R95" s="198"/>
      <c r="S95" s="198"/>
      <c r="T95" s="198"/>
      <c r="U95" s="198"/>
      <c r="V95" s="198"/>
      <c r="W95" s="198"/>
      <c r="X95" s="198"/>
      <c r="Y95" s="198"/>
      <c r="Z95" s="198"/>
      <c r="AA95" s="198"/>
      <c r="AB95" s="198"/>
      <c r="AC95" s="198"/>
      <c r="AD95" s="198">
        <v>39752.01</v>
      </c>
      <c r="AE95" s="198">
        <v>118598.43</v>
      </c>
      <c r="AF95" s="198">
        <v>4128.63</v>
      </c>
      <c r="AG95" s="198"/>
    </row>
    <row r="96" spans="1:33" x14ac:dyDescent="0.2">
      <c r="A96" s="179"/>
      <c r="B96" s="242" t="s">
        <v>837</v>
      </c>
      <c r="C96" s="238">
        <f t="shared" ref="C96:C102" si="9">SUM(D96:DA96)</f>
        <v>824934.44000000006</v>
      </c>
      <c r="D96" s="198">
        <f>185498.24+12296.1+12385.89</f>
        <v>210180.22999999998</v>
      </c>
      <c r="E96" s="198"/>
      <c r="F96" s="198"/>
      <c r="G96" s="198"/>
      <c r="H96" s="198"/>
      <c r="I96" s="198"/>
      <c r="J96" s="198"/>
      <c r="K96" s="198"/>
      <c r="L96" s="198"/>
      <c r="M96" s="198"/>
      <c r="N96" s="198"/>
      <c r="O96" s="198"/>
      <c r="P96" s="198">
        <v>127317</v>
      </c>
      <c r="Q96" s="198"/>
      <c r="R96" s="198"/>
      <c r="S96" s="198"/>
      <c r="T96" s="198"/>
      <c r="U96" s="198"/>
      <c r="V96" s="198"/>
      <c r="W96" s="198"/>
      <c r="X96" s="198"/>
      <c r="Y96" s="198"/>
      <c r="Z96" s="198"/>
      <c r="AA96" s="198"/>
      <c r="AB96" s="198"/>
      <c r="AC96" s="198"/>
      <c r="AD96" s="198">
        <v>119256.04</v>
      </c>
      <c r="AE96" s="198">
        <v>355795.28</v>
      </c>
      <c r="AF96" s="198">
        <v>12385.89</v>
      </c>
      <c r="AG96" s="198"/>
    </row>
    <row r="97" spans="1:33" ht="25.5" x14ac:dyDescent="0.2">
      <c r="A97" s="179"/>
      <c r="B97" s="240" t="s">
        <v>838</v>
      </c>
      <c r="C97" s="238">
        <f t="shared" si="9"/>
        <v>283975.15000000002</v>
      </c>
      <c r="D97" s="198">
        <f>61832.75+4098.7+4128.63</f>
        <v>70060.08</v>
      </c>
      <c r="E97" s="198"/>
      <c r="F97" s="198"/>
      <c r="G97" s="198"/>
      <c r="H97" s="198"/>
      <c r="I97" s="198"/>
      <c r="J97" s="198"/>
      <c r="K97" s="198"/>
      <c r="L97" s="198"/>
      <c r="M97" s="198"/>
      <c r="N97" s="198"/>
      <c r="O97" s="198"/>
      <c r="P97" s="198">
        <v>51436</v>
      </c>
      <c r="Q97" s="198"/>
      <c r="R97" s="198"/>
      <c r="S97" s="198"/>
      <c r="T97" s="198"/>
      <c r="U97" s="198"/>
      <c r="V97" s="198"/>
      <c r="W97" s="198"/>
      <c r="X97" s="198"/>
      <c r="Y97" s="198"/>
      <c r="Z97" s="198"/>
      <c r="AA97" s="198"/>
      <c r="AB97" s="198"/>
      <c r="AC97" s="198"/>
      <c r="AD97" s="198">
        <v>39752.01</v>
      </c>
      <c r="AE97" s="198">
        <v>118598.43</v>
      </c>
      <c r="AF97" s="198">
        <v>4128.63</v>
      </c>
      <c r="AG97" s="198"/>
    </row>
    <row r="98" spans="1:33" x14ac:dyDescent="0.2">
      <c r="A98" s="179"/>
      <c r="B98" s="240" t="s">
        <v>839</v>
      </c>
      <c r="C98" s="238">
        <f t="shared" si="9"/>
        <v>175782.5</v>
      </c>
      <c r="D98" s="198">
        <f>37099.65+2459.22+2477.18</f>
        <v>42036.05</v>
      </c>
      <c r="E98" s="198"/>
      <c r="F98" s="198"/>
      <c r="G98" s="198"/>
      <c r="H98" s="198"/>
      <c r="I98" s="198"/>
      <c r="J98" s="198"/>
      <c r="K98" s="198"/>
      <c r="L98" s="198"/>
      <c r="M98" s="198"/>
      <c r="N98" s="198"/>
      <c r="O98" s="198"/>
      <c r="P98" s="198">
        <v>36259</v>
      </c>
      <c r="Q98" s="198"/>
      <c r="R98" s="198"/>
      <c r="S98" s="198"/>
      <c r="T98" s="198"/>
      <c r="U98" s="198"/>
      <c r="V98" s="198"/>
      <c r="W98" s="198"/>
      <c r="X98" s="198"/>
      <c r="Y98" s="198"/>
      <c r="Z98" s="198"/>
      <c r="AA98" s="198"/>
      <c r="AB98" s="198"/>
      <c r="AC98" s="198"/>
      <c r="AD98" s="198">
        <v>23851.21</v>
      </c>
      <c r="AE98" s="198">
        <v>71159.06</v>
      </c>
      <c r="AF98" s="198">
        <v>2477.1799999999998</v>
      </c>
      <c r="AG98" s="198"/>
    </row>
    <row r="99" spans="1:33" ht="25.5" x14ac:dyDescent="0.2">
      <c r="A99" s="179"/>
      <c r="B99" s="241" t="s">
        <v>840</v>
      </c>
      <c r="C99" s="238" t="s">
        <v>584</v>
      </c>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row>
    <row r="100" spans="1:33" ht="25.5" x14ac:dyDescent="0.2">
      <c r="A100" s="179"/>
      <c r="B100" s="240" t="s">
        <v>841</v>
      </c>
      <c r="C100" s="238">
        <f t="shared" si="9"/>
        <v>229879.30999999997</v>
      </c>
      <c r="D100" s="198">
        <f>49466.2+3278.96+3302.9</f>
        <v>56048.06</v>
      </c>
      <c r="E100" s="198"/>
      <c r="F100" s="198"/>
      <c r="G100" s="198"/>
      <c r="H100" s="198"/>
      <c r="I100" s="198"/>
      <c r="J100" s="198"/>
      <c r="K100" s="198"/>
      <c r="L100" s="198"/>
      <c r="M100" s="198"/>
      <c r="N100" s="198"/>
      <c r="O100" s="198"/>
      <c r="P100" s="198">
        <v>43848</v>
      </c>
      <c r="Q100" s="198"/>
      <c r="R100" s="198"/>
      <c r="S100" s="198"/>
      <c r="T100" s="198"/>
      <c r="U100" s="198"/>
      <c r="V100" s="198"/>
      <c r="W100" s="198"/>
      <c r="X100" s="198"/>
      <c r="Y100" s="198"/>
      <c r="Z100" s="198"/>
      <c r="AA100" s="198"/>
      <c r="AB100" s="198"/>
      <c r="AC100" s="198"/>
      <c r="AD100" s="198">
        <v>31801.61</v>
      </c>
      <c r="AE100" s="198">
        <v>94878.74</v>
      </c>
      <c r="AF100" s="198">
        <v>3302.9</v>
      </c>
      <c r="AG100" s="198"/>
    </row>
    <row r="101" spans="1:33" ht="25.5" x14ac:dyDescent="0.2">
      <c r="A101" s="179"/>
      <c r="B101" s="240" t="s">
        <v>1183</v>
      </c>
      <c r="C101" s="238">
        <f t="shared" si="9"/>
        <v>121686.65999999999</v>
      </c>
      <c r="D101" s="198">
        <f>24733.1+1639.48+1651.45</f>
        <v>28024.03</v>
      </c>
      <c r="E101" s="198"/>
      <c r="F101" s="198"/>
      <c r="G101" s="198"/>
      <c r="H101" s="198"/>
      <c r="I101" s="198"/>
      <c r="J101" s="198"/>
      <c r="K101" s="198"/>
      <c r="L101" s="198"/>
      <c r="M101" s="198"/>
      <c r="N101" s="198"/>
      <c r="O101" s="198"/>
      <c r="P101" s="198">
        <v>28671</v>
      </c>
      <c r="Q101" s="198"/>
      <c r="R101" s="198"/>
      <c r="S101" s="198"/>
      <c r="T101" s="198"/>
      <c r="U101" s="198"/>
      <c r="V101" s="198"/>
      <c r="W101" s="198"/>
      <c r="X101" s="198"/>
      <c r="Y101" s="198"/>
      <c r="Z101" s="198"/>
      <c r="AA101" s="198"/>
      <c r="AB101" s="198"/>
      <c r="AC101" s="198"/>
      <c r="AD101" s="198">
        <v>15900.81</v>
      </c>
      <c r="AE101" s="198">
        <v>47439.37</v>
      </c>
      <c r="AF101" s="198">
        <v>1651.45</v>
      </c>
      <c r="AG101" s="198"/>
    </row>
    <row r="102" spans="1:33" ht="25.5" x14ac:dyDescent="0.2">
      <c r="A102" s="179"/>
      <c r="B102" s="240" t="s">
        <v>1193</v>
      </c>
      <c r="C102" s="238">
        <f t="shared" si="9"/>
        <v>121686.65999999999</v>
      </c>
      <c r="D102" s="198">
        <f>24733.1+1639.48+1651.45</f>
        <v>28024.03</v>
      </c>
      <c r="E102" s="198"/>
      <c r="F102" s="198"/>
      <c r="G102" s="198"/>
      <c r="H102" s="198"/>
      <c r="I102" s="198"/>
      <c r="J102" s="198"/>
      <c r="K102" s="198"/>
      <c r="L102" s="198"/>
      <c r="M102" s="198"/>
      <c r="N102" s="198"/>
      <c r="O102" s="198"/>
      <c r="P102" s="198">
        <v>28671</v>
      </c>
      <c r="Q102" s="198"/>
      <c r="R102" s="198"/>
      <c r="S102" s="198"/>
      <c r="T102" s="198"/>
      <c r="U102" s="198"/>
      <c r="V102" s="198"/>
      <c r="W102" s="198"/>
      <c r="X102" s="198"/>
      <c r="Y102" s="198"/>
      <c r="Z102" s="198"/>
      <c r="AA102" s="198"/>
      <c r="AB102" s="198"/>
      <c r="AC102" s="198"/>
      <c r="AD102" s="198">
        <v>15900.81</v>
      </c>
      <c r="AE102" s="198">
        <v>47439.37</v>
      </c>
      <c r="AF102" s="198">
        <v>1651.45</v>
      </c>
      <c r="AG102" s="198"/>
    </row>
    <row r="103" spans="1:33" ht="25.5" x14ac:dyDescent="0.2">
      <c r="A103" s="179"/>
      <c r="B103" s="240" t="s">
        <v>1184</v>
      </c>
      <c r="C103" s="238">
        <f t="shared" ref="C103:C112" si="10">SUM(D103:DA103)</f>
        <v>67590.84</v>
      </c>
      <c r="D103" s="198">
        <f>12366.55+819.74+825.73</f>
        <v>14012.019999999999</v>
      </c>
      <c r="E103" s="198"/>
      <c r="F103" s="198"/>
      <c r="G103" s="198"/>
      <c r="H103" s="198"/>
      <c r="I103" s="198"/>
      <c r="J103" s="198"/>
      <c r="K103" s="198"/>
      <c r="L103" s="198"/>
      <c r="M103" s="198"/>
      <c r="N103" s="198"/>
      <c r="O103" s="198"/>
      <c r="P103" s="198">
        <v>21083</v>
      </c>
      <c r="Q103" s="198" t="s">
        <v>584</v>
      </c>
      <c r="R103" s="198"/>
      <c r="S103" s="198"/>
      <c r="T103" s="198"/>
      <c r="U103" s="198"/>
      <c r="V103" s="198"/>
      <c r="W103" s="198"/>
      <c r="X103" s="198"/>
      <c r="Y103" s="198"/>
      <c r="Z103" s="198"/>
      <c r="AA103" s="198"/>
      <c r="AB103" s="198"/>
      <c r="AC103" s="198"/>
      <c r="AD103" s="198">
        <v>7950.4</v>
      </c>
      <c r="AE103" s="198">
        <v>23719.69</v>
      </c>
      <c r="AF103" s="198">
        <v>825.73</v>
      </c>
      <c r="AG103" s="198"/>
    </row>
    <row r="104" spans="1:33" x14ac:dyDescent="0.2">
      <c r="A104" s="179"/>
      <c r="B104" s="240" t="s">
        <v>1174</v>
      </c>
      <c r="C104" s="238" t="s">
        <v>584</v>
      </c>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row>
    <row r="105" spans="1:33" ht="38.25" x14ac:dyDescent="0.2">
      <c r="A105" s="179"/>
      <c r="B105" s="240" t="s">
        <v>842</v>
      </c>
      <c r="C105" s="238">
        <f t="shared" si="10"/>
        <v>199286</v>
      </c>
      <c r="D105" s="198"/>
      <c r="E105" s="198"/>
      <c r="F105" s="198"/>
      <c r="G105" s="198"/>
      <c r="H105" s="198"/>
      <c r="I105" s="198"/>
      <c r="J105" s="198"/>
      <c r="K105" s="198"/>
      <c r="L105" s="198"/>
      <c r="M105" s="198"/>
      <c r="N105" s="198"/>
      <c r="O105" s="198"/>
      <c r="P105" s="198">
        <v>199286</v>
      </c>
      <c r="Q105" s="198"/>
      <c r="R105" s="198"/>
      <c r="S105" s="198"/>
      <c r="T105" s="198"/>
      <c r="U105" s="198"/>
      <c r="V105" s="198"/>
      <c r="W105" s="198"/>
      <c r="X105" s="198"/>
      <c r="Y105" s="198"/>
      <c r="Z105" s="198"/>
      <c r="AA105" s="198"/>
      <c r="AB105" s="198"/>
      <c r="AC105" s="198"/>
      <c r="AD105" s="198"/>
      <c r="AE105" s="198"/>
      <c r="AF105" s="198"/>
      <c r="AG105" s="198"/>
    </row>
    <row r="106" spans="1:33" ht="63.75" x14ac:dyDescent="0.2">
      <c r="A106" s="179"/>
      <c r="B106" s="240" t="s">
        <v>843</v>
      </c>
      <c r="C106" s="238">
        <f t="shared" si="10"/>
        <v>18140</v>
      </c>
      <c r="D106" s="198"/>
      <c r="E106" s="198"/>
      <c r="F106" s="198"/>
      <c r="G106" s="198"/>
      <c r="H106" s="198"/>
      <c r="I106" s="198"/>
      <c r="J106" s="198"/>
      <c r="K106" s="198"/>
      <c r="L106" s="198"/>
      <c r="M106" s="198"/>
      <c r="N106" s="198"/>
      <c r="O106" s="198"/>
      <c r="P106" s="198">
        <v>18140</v>
      </c>
      <c r="Q106" s="198"/>
      <c r="R106" s="198"/>
      <c r="S106" s="198"/>
      <c r="T106" s="198"/>
      <c r="U106" s="198"/>
      <c r="V106" s="198"/>
      <c r="W106" s="198"/>
      <c r="X106" s="198"/>
      <c r="Y106" s="198"/>
      <c r="Z106" s="198"/>
      <c r="AA106" s="198"/>
      <c r="AB106" s="198"/>
      <c r="AC106" s="198"/>
      <c r="AD106" s="198"/>
      <c r="AE106" s="198"/>
      <c r="AF106" s="198"/>
      <c r="AG106" s="198"/>
    </row>
    <row r="107" spans="1:33" x14ac:dyDescent="0.2">
      <c r="A107" s="179"/>
      <c r="B107" s="240" t="s">
        <v>844</v>
      </c>
      <c r="C107" s="238">
        <f t="shared" si="10"/>
        <v>18140</v>
      </c>
      <c r="D107" s="198"/>
      <c r="E107" s="198"/>
      <c r="F107" s="198"/>
      <c r="G107" s="198"/>
      <c r="H107" s="198"/>
      <c r="I107" s="198"/>
      <c r="J107" s="198"/>
      <c r="K107" s="198"/>
      <c r="L107" s="198"/>
      <c r="M107" s="198"/>
      <c r="N107" s="198"/>
      <c r="O107" s="198"/>
      <c r="P107" s="198">
        <v>18140</v>
      </c>
      <c r="Q107" s="198"/>
      <c r="R107" s="198"/>
      <c r="S107" s="198"/>
      <c r="T107" s="198"/>
      <c r="U107" s="198"/>
      <c r="V107" s="198"/>
      <c r="W107" s="198"/>
      <c r="X107" s="198"/>
      <c r="Y107" s="198"/>
      <c r="Z107" s="198"/>
      <c r="AA107" s="198"/>
      <c r="AB107" s="198"/>
      <c r="AC107" s="198"/>
      <c r="AD107" s="198"/>
      <c r="AE107" s="198"/>
      <c r="AF107" s="198"/>
      <c r="AG107" s="198"/>
    </row>
    <row r="108" spans="1:33" ht="38.25" x14ac:dyDescent="0.2">
      <c r="A108" s="179"/>
      <c r="B108" s="240" t="s">
        <v>845</v>
      </c>
      <c r="C108" s="238">
        <f t="shared" si="10"/>
        <v>50653</v>
      </c>
      <c r="D108" s="198"/>
      <c r="E108" s="198"/>
      <c r="F108" s="198"/>
      <c r="G108" s="198"/>
      <c r="H108" s="198"/>
      <c r="I108" s="198"/>
      <c r="J108" s="198"/>
      <c r="K108" s="198"/>
      <c r="L108" s="198"/>
      <c r="M108" s="198"/>
      <c r="N108" s="198"/>
      <c r="O108" s="198"/>
      <c r="P108" s="198">
        <v>50653</v>
      </c>
      <c r="Q108" s="198" t="s">
        <v>584</v>
      </c>
      <c r="R108" s="198"/>
      <c r="S108" s="198"/>
      <c r="T108" s="198"/>
      <c r="U108" s="198"/>
      <c r="V108" s="198"/>
      <c r="W108" s="198"/>
      <c r="X108" s="198"/>
      <c r="Y108" s="198"/>
      <c r="Z108" s="198"/>
      <c r="AA108" s="198"/>
      <c r="AB108" s="198"/>
      <c r="AC108" s="198"/>
      <c r="AD108" s="198"/>
      <c r="AE108" s="198"/>
      <c r="AF108" s="198"/>
      <c r="AG108" s="198"/>
    </row>
    <row r="109" spans="1:33" ht="25.5" x14ac:dyDescent="0.2">
      <c r="A109" s="179"/>
      <c r="B109" s="241" t="s">
        <v>1187</v>
      </c>
      <c r="C109" s="238" t="s">
        <v>584</v>
      </c>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row>
    <row r="110" spans="1:33" ht="25.5" x14ac:dyDescent="0.2">
      <c r="A110" s="179"/>
      <c r="B110" s="240" t="s">
        <v>1194</v>
      </c>
      <c r="C110" s="238">
        <f t="shared" si="10"/>
        <v>204056</v>
      </c>
      <c r="D110" s="198"/>
      <c r="E110" s="198"/>
      <c r="F110" s="198"/>
      <c r="G110" s="198"/>
      <c r="H110" s="198"/>
      <c r="I110" s="198"/>
      <c r="J110" s="198"/>
      <c r="K110" s="198"/>
      <c r="L110" s="198"/>
      <c r="M110" s="198"/>
      <c r="N110" s="198"/>
      <c r="O110" s="198"/>
      <c r="P110" s="198">
        <v>204056</v>
      </c>
      <c r="Q110" s="198"/>
      <c r="R110" s="198"/>
      <c r="S110" s="198"/>
      <c r="T110" s="198"/>
      <c r="U110" s="198"/>
      <c r="V110" s="198"/>
      <c r="W110" s="198"/>
      <c r="X110" s="198"/>
      <c r="Y110" s="198"/>
      <c r="Z110" s="198"/>
      <c r="AA110" s="198"/>
      <c r="AB110" s="198"/>
      <c r="AC110" s="198"/>
      <c r="AD110" s="198"/>
      <c r="AE110" s="198"/>
      <c r="AF110" s="198"/>
      <c r="AG110" s="198"/>
    </row>
    <row r="111" spans="1:33" ht="25.5" x14ac:dyDescent="0.2">
      <c r="A111" s="179"/>
      <c r="B111" s="240" t="s">
        <v>1185</v>
      </c>
      <c r="C111" s="238">
        <f t="shared" si="10"/>
        <v>204056</v>
      </c>
      <c r="D111" s="198"/>
      <c r="E111" s="198"/>
      <c r="F111" s="198"/>
      <c r="G111" s="198"/>
      <c r="H111" s="198"/>
      <c r="I111" s="198"/>
      <c r="J111" s="198"/>
      <c r="K111" s="198"/>
      <c r="L111" s="198"/>
      <c r="M111" s="198"/>
      <c r="N111" s="198"/>
      <c r="O111" s="198"/>
      <c r="P111" s="198">
        <v>204056</v>
      </c>
      <c r="Q111" s="198"/>
      <c r="R111" s="198"/>
      <c r="S111" s="198"/>
      <c r="T111" s="198"/>
      <c r="U111" s="198"/>
      <c r="V111" s="198"/>
      <c r="W111" s="198"/>
      <c r="X111" s="198"/>
      <c r="Y111" s="198"/>
      <c r="Z111" s="198"/>
      <c r="AA111" s="198"/>
      <c r="AB111" s="198"/>
      <c r="AC111" s="198"/>
      <c r="AD111" s="198"/>
      <c r="AE111" s="198"/>
      <c r="AF111" s="198"/>
      <c r="AG111" s="198"/>
    </row>
    <row r="112" spans="1:33" ht="25.5" x14ac:dyDescent="0.2">
      <c r="A112" s="179"/>
      <c r="B112" s="240" t="s">
        <v>847</v>
      </c>
      <c r="C112" s="238">
        <f t="shared" si="10"/>
        <v>204056</v>
      </c>
      <c r="D112" s="198"/>
      <c r="E112" s="198"/>
      <c r="F112" s="198"/>
      <c r="G112" s="198"/>
      <c r="H112" s="198"/>
      <c r="I112" s="198"/>
      <c r="J112" s="198"/>
      <c r="K112" s="198"/>
      <c r="L112" s="198"/>
      <c r="M112" s="198"/>
      <c r="N112" s="198"/>
      <c r="O112" s="198"/>
      <c r="P112" s="198">
        <v>204056</v>
      </c>
      <c r="Q112" s="198" t="s">
        <v>584</v>
      </c>
      <c r="R112" s="198"/>
      <c r="S112" s="198"/>
      <c r="T112" s="198"/>
      <c r="U112" s="198"/>
      <c r="V112" s="198"/>
      <c r="W112" s="198"/>
      <c r="X112" s="198"/>
      <c r="Y112" s="198"/>
      <c r="Z112" s="198"/>
      <c r="AA112" s="198"/>
      <c r="AB112" s="198"/>
      <c r="AC112" s="198"/>
      <c r="AD112" s="198"/>
      <c r="AE112" s="198"/>
      <c r="AF112" s="198"/>
      <c r="AG112" s="198"/>
    </row>
    <row r="113" spans="1:33" ht="25.5" x14ac:dyDescent="0.2">
      <c r="A113" s="179"/>
      <c r="B113" s="12" t="s">
        <v>848</v>
      </c>
      <c r="C113" s="23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row>
    <row r="114" spans="1:33" x14ac:dyDescent="0.2">
      <c r="A114" s="179"/>
      <c r="B114" s="241" t="s">
        <v>1186</v>
      </c>
      <c r="C114" s="238" t="s">
        <v>584</v>
      </c>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row>
    <row r="115" spans="1:33" ht="25.5" x14ac:dyDescent="0.2">
      <c r="A115" s="179"/>
      <c r="B115" s="240" t="s">
        <v>849</v>
      </c>
      <c r="C115" s="238">
        <f t="shared" ref="C115:C118" si="11">SUM(D115:DA115)</f>
        <v>174432.27</v>
      </c>
      <c r="D115" s="198"/>
      <c r="E115" s="198"/>
      <c r="F115" s="198"/>
      <c r="G115" s="198"/>
      <c r="H115" s="198">
        <v>160937.26999999999</v>
      </c>
      <c r="I115" s="198"/>
      <c r="J115" s="198"/>
      <c r="K115" s="198"/>
      <c r="L115" s="198"/>
      <c r="M115" s="198"/>
      <c r="N115" s="198"/>
      <c r="O115" s="198"/>
      <c r="P115" s="198">
        <v>13495</v>
      </c>
      <c r="Q115" s="198"/>
      <c r="R115" s="198"/>
      <c r="S115" s="198"/>
      <c r="T115" s="198"/>
      <c r="U115" s="198"/>
      <c r="V115" s="198"/>
      <c r="W115" s="198"/>
      <c r="X115" s="198"/>
      <c r="Y115" s="198"/>
      <c r="Z115" s="198"/>
      <c r="AA115" s="198"/>
      <c r="AB115" s="198"/>
      <c r="AC115" s="198"/>
      <c r="AD115" s="198"/>
      <c r="AE115" s="198"/>
      <c r="AF115" s="198"/>
      <c r="AG115" s="198"/>
    </row>
    <row r="116" spans="1:33" ht="25.5" x14ac:dyDescent="0.2">
      <c r="A116" s="179"/>
      <c r="B116" s="240" t="s">
        <v>1195</v>
      </c>
      <c r="C116" s="238">
        <f t="shared" si="11"/>
        <v>216415.9</v>
      </c>
      <c r="D116" s="198"/>
      <c r="E116" s="198"/>
      <c r="F116" s="198"/>
      <c r="G116" s="198"/>
      <c r="H116" s="198">
        <v>202920.9</v>
      </c>
      <c r="I116" s="198"/>
      <c r="J116" s="198"/>
      <c r="K116" s="198"/>
      <c r="L116" s="198"/>
      <c r="M116" s="198"/>
      <c r="N116" s="198"/>
      <c r="O116" s="198"/>
      <c r="P116" s="198">
        <v>13495</v>
      </c>
      <c r="Q116" s="198"/>
      <c r="R116" s="198"/>
      <c r="S116" s="198"/>
      <c r="T116" s="198"/>
      <c r="U116" s="198"/>
      <c r="V116" s="198"/>
      <c r="W116" s="198"/>
      <c r="X116" s="198"/>
      <c r="Y116" s="198"/>
      <c r="Z116" s="198"/>
      <c r="AA116" s="198"/>
      <c r="AB116" s="198"/>
      <c r="AC116" s="198"/>
      <c r="AD116" s="198"/>
      <c r="AE116" s="198"/>
      <c r="AF116" s="198"/>
      <c r="AG116" s="198"/>
    </row>
    <row r="117" spans="1:33" ht="25.5" x14ac:dyDescent="0.2">
      <c r="A117" s="179"/>
      <c r="B117" s="240" t="s">
        <v>1196</v>
      </c>
      <c r="C117" s="238">
        <f t="shared" si="11"/>
        <v>111456.81</v>
      </c>
      <c r="D117" s="198"/>
      <c r="E117" s="198"/>
      <c r="F117" s="198"/>
      <c r="G117" s="198"/>
      <c r="H117" s="198">
        <v>97961.81</v>
      </c>
      <c r="I117" s="198"/>
      <c r="J117" s="198"/>
      <c r="K117" s="198"/>
      <c r="L117" s="198"/>
      <c r="M117" s="198"/>
      <c r="N117" s="198"/>
      <c r="O117" s="198"/>
      <c r="P117" s="198">
        <v>13495</v>
      </c>
      <c r="Q117" s="198"/>
      <c r="R117" s="198"/>
      <c r="S117" s="198"/>
      <c r="T117" s="198"/>
      <c r="U117" s="198"/>
      <c r="V117" s="198"/>
      <c r="W117" s="198"/>
      <c r="X117" s="198"/>
      <c r="Y117" s="198"/>
      <c r="Z117" s="198"/>
      <c r="AA117" s="198"/>
      <c r="AB117" s="198"/>
      <c r="AC117" s="198"/>
      <c r="AD117" s="198"/>
      <c r="AE117" s="198"/>
      <c r="AF117" s="198"/>
      <c r="AG117" s="198"/>
    </row>
    <row r="118" spans="1:33" ht="25.5" x14ac:dyDescent="0.2">
      <c r="A118" s="179"/>
      <c r="B118" s="240" t="s">
        <v>1197</v>
      </c>
      <c r="C118" s="238">
        <f t="shared" si="11"/>
        <v>251402.26</v>
      </c>
      <c r="D118" s="198"/>
      <c r="E118" s="198"/>
      <c r="F118" s="198"/>
      <c r="G118" s="198"/>
      <c r="H118" s="198">
        <v>237907.26</v>
      </c>
      <c r="I118" s="198" t="s">
        <v>584</v>
      </c>
      <c r="J118" s="198"/>
      <c r="K118" s="198"/>
      <c r="L118" s="198"/>
      <c r="M118" s="198"/>
      <c r="N118" s="198"/>
      <c r="O118" s="198"/>
      <c r="P118" s="198">
        <v>13495</v>
      </c>
      <c r="Q118" s="198"/>
      <c r="R118" s="198"/>
      <c r="S118" s="198"/>
      <c r="T118" s="198"/>
      <c r="U118" s="198"/>
      <c r="V118" s="198"/>
      <c r="W118" s="198"/>
      <c r="X118" s="198"/>
      <c r="Y118" s="198"/>
      <c r="Z118" s="198"/>
      <c r="AA118" s="198"/>
      <c r="AB118" s="198"/>
      <c r="AC118" s="198"/>
      <c r="AD118" s="198"/>
      <c r="AE118" s="198"/>
      <c r="AF118" s="198"/>
      <c r="AG118" s="198"/>
    </row>
    <row r="119" spans="1:33" ht="51" x14ac:dyDescent="0.2">
      <c r="A119" s="179"/>
      <c r="B119" s="12" t="s">
        <v>850</v>
      </c>
      <c r="C119" s="23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row>
    <row r="120" spans="1:33" ht="25.5" x14ac:dyDescent="0.2">
      <c r="A120" s="179"/>
      <c r="B120" s="243" t="s">
        <v>1198</v>
      </c>
      <c r="C120" s="238" t="s">
        <v>584</v>
      </c>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row>
    <row r="121" spans="1:33" ht="51" x14ac:dyDescent="0.2">
      <c r="A121" s="179"/>
      <c r="B121" s="174" t="s">
        <v>1199</v>
      </c>
      <c r="C121" s="238">
        <f t="shared" ref="C121:C129" si="12">SUM(D121:DA121)</f>
        <v>1043525</v>
      </c>
      <c r="D121" s="198"/>
      <c r="E121" s="198"/>
      <c r="F121" s="198"/>
      <c r="G121" s="198"/>
      <c r="H121" s="198"/>
      <c r="I121" s="198"/>
      <c r="J121" s="198"/>
      <c r="K121" s="198"/>
      <c r="L121" s="198"/>
      <c r="M121" s="198"/>
      <c r="N121" s="198"/>
      <c r="O121" s="198"/>
      <c r="P121" s="198">
        <v>1043525</v>
      </c>
      <c r="Q121" s="198"/>
      <c r="R121" s="198"/>
      <c r="S121" s="198"/>
      <c r="T121" s="198"/>
      <c r="U121" s="198"/>
      <c r="V121" s="198"/>
      <c r="W121" s="198"/>
      <c r="X121" s="198"/>
      <c r="Y121" s="198"/>
      <c r="Z121" s="198"/>
      <c r="AA121" s="198"/>
      <c r="AB121" s="198"/>
      <c r="AC121" s="198"/>
      <c r="AD121" s="198"/>
      <c r="AE121" s="198"/>
      <c r="AF121" s="198"/>
      <c r="AG121" s="198"/>
    </row>
    <row r="122" spans="1:33" ht="51" x14ac:dyDescent="0.2">
      <c r="A122" s="179"/>
      <c r="B122" s="174" t="s">
        <v>975</v>
      </c>
      <c r="C122" s="238">
        <f t="shared" si="12"/>
        <v>366056</v>
      </c>
      <c r="D122" s="198"/>
      <c r="E122" s="198"/>
      <c r="F122" s="198"/>
      <c r="G122" s="198"/>
      <c r="H122" s="198"/>
      <c r="I122" s="198"/>
      <c r="J122" s="198"/>
      <c r="K122" s="198"/>
      <c r="L122" s="198"/>
      <c r="M122" s="198"/>
      <c r="N122" s="198"/>
      <c r="O122" s="198"/>
      <c r="P122" s="198">
        <v>366056</v>
      </c>
      <c r="Q122" s="198" t="s">
        <v>584</v>
      </c>
      <c r="R122" s="198"/>
      <c r="S122" s="198"/>
      <c r="T122" s="198"/>
      <c r="U122" s="198"/>
      <c r="V122" s="198"/>
      <c r="W122" s="198"/>
      <c r="X122" s="198"/>
      <c r="Y122" s="198"/>
      <c r="Z122" s="198"/>
      <c r="AA122" s="198"/>
      <c r="AB122" s="198"/>
      <c r="AC122" s="198"/>
      <c r="AD122" s="198"/>
      <c r="AE122" s="198"/>
      <c r="AF122" s="198"/>
      <c r="AG122" s="198"/>
    </row>
    <row r="123" spans="1:33" ht="25.5" x14ac:dyDescent="0.2">
      <c r="A123" s="179"/>
      <c r="B123" s="243" t="s">
        <v>852</v>
      </c>
      <c r="C123" s="238" t="s">
        <v>584</v>
      </c>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row>
    <row r="124" spans="1:33" ht="51" x14ac:dyDescent="0.2">
      <c r="A124" s="179"/>
      <c r="B124" s="174" t="s">
        <v>1200</v>
      </c>
      <c r="C124" s="238">
        <f t="shared" si="12"/>
        <v>488842</v>
      </c>
      <c r="D124" s="198"/>
      <c r="E124" s="198"/>
      <c r="F124" s="198"/>
      <c r="G124" s="198"/>
      <c r="H124" s="198"/>
      <c r="I124" s="198"/>
      <c r="J124" s="198"/>
      <c r="K124" s="198"/>
      <c r="L124" s="198"/>
      <c r="M124" s="198"/>
      <c r="N124" s="198"/>
      <c r="O124" s="198"/>
      <c r="P124" s="198">
        <v>488842</v>
      </c>
      <c r="Q124" s="198"/>
      <c r="R124" s="198"/>
      <c r="S124" s="198"/>
      <c r="T124" s="198"/>
      <c r="U124" s="198"/>
      <c r="V124" s="198"/>
      <c r="W124" s="198"/>
      <c r="X124" s="198"/>
      <c r="Y124" s="198"/>
      <c r="Z124" s="198"/>
      <c r="AA124" s="198"/>
      <c r="AB124" s="198"/>
      <c r="AC124" s="198"/>
      <c r="AD124" s="198"/>
      <c r="AE124" s="198"/>
      <c r="AF124" s="198"/>
      <c r="AG124" s="198"/>
    </row>
    <row r="125" spans="1:33" ht="25.5" x14ac:dyDescent="0.2">
      <c r="A125" s="179"/>
      <c r="B125" s="174" t="s">
        <v>853</v>
      </c>
      <c r="C125" s="238">
        <f t="shared" si="12"/>
        <v>488842</v>
      </c>
      <c r="D125" s="198"/>
      <c r="E125" s="198"/>
      <c r="F125" s="198"/>
      <c r="G125" s="198"/>
      <c r="H125" s="198"/>
      <c r="I125" s="198"/>
      <c r="J125" s="198"/>
      <c r="K125" s="198"/>
      <c r="L125" s="198"/>
      <c r="M125" s="198"/>
      <c r="N125" s="198"/>
      <c r="O125" s="198"/>
      <c r="P125" s="198">
        <v>488842</v>
      </c>
      <c r="Q125" s="198" t="s">
        <v>584</v>
      </c>
      <c r="R125" s="198"/>
      <c r="S125" s="198"/>
      <c r="T125" s="198"/>
      <c r="U125" s="198"/>
      <c r="V125" s="198"/>
      <c r="W125" s="198"/>
      <c r="X125" s="198"/>
      <c r="Y125" s="198"/>
      <c r="Z125" s="198"/>
      <c r="AA125" s="198"/>
      <c r="AB125" s="198"/>
      <c r="AC125" s="198"/>
      <c r="AD125" s="198"/>
      <c r="AE125" s="198"/>
      <c r="AF125" s="198"/>
      <c r="AG125" s="198"/>
    </row>
    <row r="126" spans="1:33" ht="38.25" x14ac:dyDescent="0.2">
      <c r="A126" s="179"/>
      <c r="B126" s="243" t="s">
        <v>1201</v>
      </c>
      <c r="C126" s="238" t="s">
        <v>584</v>
      </c>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row>
    <row r="127" spans="1:33" ht="38.25" x14ac:dyDescent="0.2">
      <c r="A127" s="179"/>
      <c r="B127" s="174" t="s">
        <v>1202</v>
      </c>
      <c r="C127" s="238">
        <f t="shared" si="12"/>
        <v>146790</v>
      </c>
      <c r="D127" s="198"/>
      <c r="E127" s="198"/>
      <c r="F127" s="198"/>
      <c r="G127" s="198"/>
      <c r="H127" s="198"/>
      <c r="I127" s="198"/>
      <c r="J127" s="198"/>
      <c r="K127" s="198"/>
      <c r="L127" s="198"/>
      <c r="M127" s="198"/>
      <c r="N127" s="198"/>
      <c r="O127" s="198"/>
      <c r="P127" s="198">
        <v>146790</v>
      </c>
      <c r="Q127" s="198"/>
      <c r="R127" s="198"/>
      <c r="S127" s="198"/>
      <c r="T127" s="198"/>
      <c r="U127" s="198"/>
      <c r="V127" s="198"/>
      <c r="W127" s="198"/>
      <c r="X127" s="198"/>
      <c r="Y127" s="198"/>
      <c r="Z127" s="198"/>
      <c r="AA127" s="198"/>
      <c r="AB127" s="198"/>
      <c r="AC127" s="198"/>
      <c r="AD127" s="198"/>
      <c r="AE127" s="198"/>
      <c r="AF127" s="198"/>
      <c r="AG127" s="198"/>
    </row>
    <row r="128" spans="1:33" x14ac:dyDescent="0.2">
      <c r="A128" s="179"/>
      <c r="B128" s="174" t="s">
        <v>1203</v>
      </c>
      <c r="C128" s="238">
        <f t="shared" si="12"/>
        <v>142870</v>
      </c>
      <c r="D128" s="198"/>
      <c r="E128" s="198"/>
      <c r="F128" s="198"/>
      <c r="G128" s="198"/>
      <c r="H128" s="198"/>
      <c r="I128" s="198"/>
      <c r="J128" s="198"/>
      <c r="K128" s="198"/>
      <c r="L128" s="198"/>
      <c r="M128" s="198"/>
      <c r="N128" s="198"/>
      <c r="O128" s="198"/>
      <c r="P128" s="198">
        <v>142870</v>
      </c>
      <c r="Q128" s="198"/>
      <c r="R128" s="198"/>
      <c r="S128" s="198"/>
      <c r="T128" s="198"/>
      <c r="U128" s="198"/>
      <c r="V128" s="198"/>
      <c r="W128" s="198"/>
      <c r="X128" s="198"/>
      <c r="Y128" s="198"/>
      <c r="Z128" s="198"/>
      <c r="AA128" s="198"/>
      <c r="AB128" s="198"/>
      <c r="AC128" s="198"/>
      <c r="AD128" s="198"/>
      <c r="AE128" s="198"/>
      <c r="AF128" s="198"/>
      <c r="AG128" s="198"/>
    </row>
    <row r="129" spans="1:33" ht="51" x14ac:dyDescent="0.2">
      <c r="A129" s="179"/>
      <c r="B129" s="174" t="s">
        <v>854</v>
      </c>
      <c r="C129" s="238">
        <f t="shared" si="12"/>
        <v>142870</v>
      </c>
      <c r="D129" s="198"/>
      <c r="E129" s="198"/>
      <c r="F129" s="198"/>
      <c r="G129" s="198"/>
      <c r="H129" s="198"/>
      <c r="I129" s="198"/>
      <c r="J129" s="198"/>
      <c r="K129" s="198"/>
      <c r="L129" s="198"/>
      <c r="M129" s="198"/>
      <c r="N129" s="198"/>
      <c r="O129" s="198"/>
      <c r="P129" s="198">
        <v>142870</v>
      </c>
      <c r="Q129" s="198" t="s">
        <v>584</v>
      </c>
      <c r="R129" s="198"/>
      <c r="S129" s="198"/>
      <c r="T129" s="198"/>
      <c r="U129" s="198"/>
      <c r="V129" s="198"/>
      <c r="W129" s="198"/>
      <c r="X129" s="198"/>
      <c r="Y129" s="198"/>
      <c r="Z129" s="198"/>
      <c r="AA129" s="198"/>
      <c r="AB129" s="198"/>
      <c r="AC129" s="198"/>
      <c r="AD129" s="198"/>
      <c r="AE129" s="198"/>
      <c r="AF129" s="198"/>
      <c r="AG129" s="198"/>
    </row>
    <row r="130" spans="1:33" ht="25.5" x14ac:dyDescent="0.2">
      <c r="A130" s="179"/>
      <c r="B130" s="243" t="s">
        <v>1204</v>
      </c>
      <c r="C130" s="238" t="s">
        <v>584</v>
      </c>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row>
    <row r="131" spans="1:33" ht="25.5" x14ac:dyDescent="0.2">
      <c r="A131" s="179"/>
      <c r="B131" s="175" t="s">
        <v>856</v>
      </c>
      <c r="C131" s="238">
        <f>SUM(D131:DA131)</f>
        <v>342171.1</v>
      </c>
      <c r="D131" s="198"/>
      <c r="E131" s="198"/>
      <c r="F131" s="198"/>
      <c r="G131" s="198"/>
      <c r="H131" s="198">
        <v>110893.1</v>
      </c>
      <c r="I131" s="198"/>
      <c r="J131" s="198"/>
      <c r="K131" s="198"/>
      <c r="L131" s="198"/>
      <c r="M131" s="198"/>
      <c r="N131" s="198"/>
      <c r="O131" s="198"/>
      <c r="P131" s="198">
        <v>231278</v>
      </c>
      <c r="Q131" s="198"/>
      <c r="R131" s="198"/>
      <c r="S131" s="198"/>
      <c r="T131" s="198"/>
      <c r="U131" s="198"/>
      <c r="V131" s="198"/>
      <c r="W131" s="198"/>
      <c r="X131" s="198"/>
      <c r="Y131" s="198"/>
      <c r="Z131" s="198"/>
      <c r="AA131" s="198"/>
      <c r="AB131" s="198"/>
      <c r="AC131" s="198"/>
      <c r="AD131" s="198"/>
      <c r="AE131" s="198"/>
      <c r="AF131" s="198"/>
      <c r="AG131" s="198"/>
    </row>
    <row r="132" spans="1:33" x14ac:dyDescent="0.2">
      <c r="A132" s="179"/>
      <c r="B132" s="175" t="s">
        <v>1205</v>
      </c>
      <c r="C132" s="238">
        <f t="shared" ref="C132:C134" si="13">SUM(D132:DA132)</f>
        <v>342171.1</v>
      </c>
      <c r="D132" s="198"/>
      <c r="E132" s="198"/>
      <c r="F132" s="198"/>
      <c r="G132" s="198"/>
      <c r="H132" s="198">
        <v>110893.1</v>
      </c>
      <c r="I132" s="198"/>
      <c r="J132" s="198"/>
      <c r="K132" s="198"/>
      <c r="L132" s="198"/>
      <c r="M132" s="198"/>
      <c r="N132" s="198"/>
      <c r="O132" s="198"/>
      <c r="P132" s="198">
        <v>231278</v>
      </c>
      <c r="Q132" s="198"/>
      <c r="R132" s="198"/>
      <c r="S132" s="198"/>
      <c r="T132" s="198"/>
      <c r="U132" s="198"/>
      <c r="V132" s="198"/>
      <c r="W132" s="198"/>
      <c r="X132" s="198"/>
      <c r="Y132" s="198"/>
      <c r="Z132" s="198"/>
      <c r="AA132" s="198"/>
      <c r="AB132" s="198"/>
      <c r="AC132" s="198"/>
      <c r="AD132" s="198"/>
      <c r="AE132" s="198"/>
      <c r="AF132" s="198"/>
      <c r="AG132" s="198"/>
    </row>
    <row r="133" spans="1:33" ht="25.5" x14ac:dyDescent="0.2">
      <c r="A133" s="179"/>
      <c r="B133" s="175" t="s">
        <v>1176</v>
      </c>
      <c r="C133" s="238">
        <f t="shared" si="13"/>
        <v>342171.1</v>
      </c>
      <c r="D133" s="198"/>
      <c r="E133" s="198"/>
      <c r="F133" s="198"/>
      <c r="G133" s="198"/>
      <c r="H133" s="198">
        <v>110893.1</v>
      </c>
      <c r="I133" s="198"/>
      <c r="J133" s="198"/>
      <c r="K133" s="198"/>
      <c r="L133" s="198"/>
      <c r="M133" s="198"/>
      <c r="N133" s="198"/>
      <c r="O133" s="198"/>
      <c r="P133" s="198">
        <v>231278</v>
      </c>
      <c r="Q133" s="198"/>
      <c r="R133" s="198"/>
      <c r="S133" s="198"/>
      <c r="T133" s="198"/>
      <c r="U133" s="198"/>
      <c r="V133" s="198"/>
      <c r="W133" s="198"/>
      <c r="X133" s="198"/>
      <c r="Y133" s="198"/>
      <c r="Z133" s="198"/>
      <c r="AA133" s="198"/>
      <c r="AB133" s="198"/>
      <c r="AC133" s="198"/>
      <c r="AD133" s="198"/>
      <c r="AE133" s="198"/>
      <c r="AF133" s="198"/>
      <c r="AG133" s="198"/>
    </row>
    <row r="134" spans="1:33" x14ac:dyDescent="0.2">
      <c r="A134" s="179"/>
      <c r="B134" s="175" t="s">
        <v>1175</v>
      </c>
      <c r="C134" s="238">
        <f t="shared" si="13"/>
        <v>342171.1</v>
      </c>
      <c r="D134" s="198"/>
      <c r="E134" s="198"/>
      <c r="F134" s="198"/>
      <c r="G134" s="198"/>
      <c r="H134" s="198">
        <v>110893.1</v>
      </c>
      <c r="I134" s="198"/>
      <c r="J134" s="198"/>
      <c r="K134" s="198"/>
      <c r="L134" s="198"/>
      <c r="M134" s="198"/>
      <c r="N134" s="198"/>
      <c r="O134" s="198"/>
      <c r="P134" s="198">
        <v>231278</v>
      </c>
      <c r="Q134" s="198" t="s">
        <v>584</v>
      </c>
      <c r="R134" s="198"/>
      <c r="S134" s="198"/>
      <c r="T134" s="198"/>
      <c r="U134" s="198"/>
      <c r="V134" s="198"/>
      <c r="W134" s="198"/>
      <c r="X134" s="198"/>
      <c r="Y134" s="198"/>
      <c r="Z134" s="198"/>
      <c r="AA134" s="198"/>
      <c r="AB134" s="198"/>
      <c r="AC134" s="198"/>
      <c r="AD134" s="198"/>
      <c r="AE134" s="198"/>
      <c r="AF134" s="198"/>
      <c r="AG134" s="198"/>
    </row>
    <row r="135" spans="1:33" ht="51" x14ac:dyDescent="0.2">
      <c r="A135" s="179"/>
      <c r="B135" s="244" t="s">
        <v>1206</v>
      </c>
      <c r="C135" s="238" t="s">
        <v>584</v>
      </c>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row>
    <row r="136" spans="1:33" ht="38.25" x14ac:dyDescent="0.2">
      <c r="A136" s="179"/>
      <c r="B136" s="175" t="s">
        <v>1207</v>
      </c>
      <c r="C136" s="238">
        <f t="shared" ref="C136:C139" si="14">SUM(D136:DA136)</f>
        <v>753015.47</v>
      </c>
      <c r="D136" s="198"/>
      <c r="E136" s="198"/>
      <c r="F136" s="198"/>
      <c r="G136" s="198"/>
      <c r="H136" s="198">
        <v>249509.47</v>
      </c>
      <c r="I136" s="198"/>
      <c r="J136" s="198"/>
      <c r="K136" s="198"/>
      <c r="L136" s="198"/>
      <c r="M136" s="198"/>
      <c r="N136" s="198"/>
      <c r="O136" s="198"/>
      <c r="P136" s="198">
        <v>503506</v>
      </c>
      <c r="Q136" s="198"/>
      <c r="R136" s="198"/>
      <c r="S136" s="198"/>
      <c r="T136" s="198"/>
      <c r="U136" s="198"/>
      <c r="V136" s="198"/>
      <c r="W136" s="198"/>
      <c r="X136" s="198"/>
      <c r="Y136" s="198"/>
      <c r="Z136" s="198"/>
      <c r="AA136" s="198"/>
      <c r="AB136" s="198"/>
      <c r="AC136" s="198"/>
      <c r="AD136" s="198"/>
      <c r="AE136" s="198"/>
      <c r="AF136" s="198"/>
      <c r="AG136" s="198"/>
    </row>
    <row r="137" spans="1:33" ht="25.5" x14ac:dyDescent="0.2">
      <c r="A137" s="179"/>
      <c r="B137" s="174" t="s">
        <v>1208</v>
      </c>
      <c r="C137" s="238">
        <f t="shared" si="14"/>
        <v>309302.78999999998</v>
      </c>
      <c r="D137" s="198"/>
      <c r="E137" s="198"/>
      <c r="F137" s="198"/>
      <c r="G137" s="198"/>
      <c r="H137" s="198">
        <v>99803.79</v>
      </c>
      <c r="I137" s="198"/>
      <c r="J137" s="198"/>
      <c r="K137" s="198"/>
      <c r="L137" s="198"/>
      <c r="M137" s="198"/>
      <c r="N137" s="198"/>
      <c r="O137" s="198"/>
      <c r="P137" s="198">
        <v>209499</v>
      </c>
      <c r="Q137" s="198"/>
      <c r="R137" s="198"/>
      <c r="S137" s="198"/>
      <c r="T137" s="198"/>
      <c r="U137" s="198"/>
      <c r="V137" s="198"/>
      <c r="W137" s="198"/>
      <c r="X137" s="198"/>
      <c r="Y137" s="198"/>
      <c r="Z137" s="198"/>
      <c r="AA137" s="198"/>
      <c r="AB137" s="198"/>
      <c r="AC137" s="198"/>
      <c r="AD137" s="198"/>
      <c r="AE137" s="198"/>
      <c r="AF137" s="198"/>
      <c r="AG137" s="198"/>
    </row>
    <row r="138" spans="1:33" ht="38.25" x14ac:dyDescent="0.2">
      <c r="A138" s="179"/>
      <c r="B138" s="175" t="s">
        <v>1209</v>
      </c>
      <c r="C138" s="238">
        <f t="shared" si="14"/>
        <v>457207.68</v>
      </c>
      <c r="D138" s="198"/>
      <c r="E138" s="198"/>
      <c r="F138" s="198"/>
      <c r="G138" s="198"/>
      <c r="H138" s="198">
        <v>149705.68</v>
      </c>
      <c r="I138" s="198"/>
      <c r="J138" s="198"/>
      <c r="K138" s="198"/>
      <c r="L138" s="198"/>
      <c r="M138" s="198"/>
      <c r="N138" s="198"/>
      <c r="O138" s="198"/>
      <c r="P138" s="198">
        <v>307502</v>
      </c>
      <c r="Q138" s="198" t="s">
        <v>584</v>
      </c>
      <c r="R138" s="198"/>
      <c r="S138" s="198"/>
      <c r="T138" s="198"/>
      <c r="U138" s="198"/>
      <c r="V138" s="198"/>
      <c r="W138" s="198"/>
      <c r="X138" s="198"/>
      <c r="Y138" s="198"/>
      <c r="Z138" s="198"/>
      <c r="AA138" s="198"/>
      <c r="AB138" s="198"/>
      <c r="AC138" s="198"/>
      <c r="AD138" s="198"/>
      <c r="AE138" s="198"/>
      <c r="AF138" s="198"/>
      <c r="AG138" s="198"/>
    </row>
    <row r="139" spans="1:33" x14ac:dyDescent="0.2">
      <c r="A139" s="179" t="s">
        <v>110</v>
      </c>
      <c r="B139" s="245" t="s">
        <v>159</v>
      </c>
      <c r="C139" s="266">
        <f t="shared" si="14"/>
        <v>39679542.610000007</v>
      </c>
      <c r="D139" s="267">
        <f t="shared" ref="D139:AG139" si="15">SUM(D55:D138)</f>
        <v>1401201.5200000003</v>
      </c>
      <c r="E139" s="267">
        <f t="shared" si="15"/>
        <v>0</v>
      </c>
      <c r="F139" s="267">
        <f t="shared" si="15"/>
        <v>0</v>
      </c>
      <c r="G139" s="267">
        <f t="shared" si="15"/>
        <v>0</v>
      </c>
      <c r="H139" s="267">
        <f t="shared" si="15"/>
        <v>12886308.550000001</v>
      </c>
      <c r="I139" s="267">
        <f t="shared" si="15"/>
        <v>0</v>
      </c>
      <c r="J139" s="267">
        <f t="shared" si="15"/>
        <v>0</v>
      </c>
      <c r="K139" s="267">
        <f t="shared" si="15"/>
        <v>0</v>
      </c>
      <c r="L139" s="267">
        <f t="shared" si="15"/>
        <v>0</v>
      </c>
      <c r="M139" s="267">
        <f t="shared" si="15"/>
        <v>0</v>
      </c>
      <c r="N139" s="267">
        <f t="shared" si="15"/>
        <v>0</v>
      </c>
      <c r="O139" s="267">
        <f t="shared" si="15"/>
        <v>0</v>
      </c>
      <c r="P139" s="267">
        <f t="shared" si="15"/>
        <v>21150060.52</v>
      </c>
      <c r="Q139" s="267">
        <f t="shared" si="15"/>
        <v>0</v>
      </c>
      <c r="R139" s="267">
        <f t="shared" si="15"/>
        <v>0</v>
      </c>
      <c r="S139" s="267">
        <f t="shared" si="15"/>
        <v>0</v>
      </c>
      <c r="T139" s="267">
        <f t="shared" si="15"/>
        <v>0</v>
      </c>
      <c r="U139" s="267">
        <f t="shared" si="15"/>
        <v>0</v>
      </c>
      <c r="V139" s="267">
        <f t="shared" si="15"/>
        <v>0</v>
      </c>
      <c r="W139" s="267">
        <f t="shared" si="15"/>
        <v>126272</v>
      </c>
      <c r="X139" s="267">
        <f t="shared" si="15"/>
        <v>48920</v>
      </c>
      <c r="Y139" s="267">
        <f t="shared" si="15"/>
        <v>0</v>
      </c>
      <c r="Z139" s="267">
        <f t="shared" si="15"/>
        <v>0</v>
      </c>
      <c r="AA139" s="267">
        <f t="shared" si="15"/>
        <v>809228.85</v>
      </c>
      <c r="AB139" s="267">
        <f t="shared" si="15"/>
        <v>0</v>
      </c>
      <c r="AC139" s="267">
        <f t="shared" si="15"/>
        <v>7969.7599999999993</v>
      </c>
      <c r="AD139" s="267">
        <f t="shared" si="15"/>
        <v>795040.27000000014</v>
      </c>
      <c r="AE139" s="267">
        <f t="shared" si="15"/>
        <v>2371968.5400000005</v>
      </c>
      <c r="AF139" s="267">
        <f t="shared" si="15"/>
        <v>82572.599999999977</v>
      </c>
      <c r="AG139" s="267">
        <f t="shared" si="15"/>
        <v>0</v>
      </c>
    </row>
    <row r="140" spans="1:33" x14ac:dyDescent="0.2">
      <c r="A140" s="179"/>
      <c r="B140" s="245"/>
      <c r="C140" s="246"/>
      <c r="D140" s="247"/>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row>
    <row r="141" spans="1:33" ht="25.5" x14ac:dyDescent="0.2">
      <c r="A141" s="179" t="s">
        <v>209</v>
      </c>
      <c r="B141" s="194" t="s">
        <v>150</v>
      </c>
      <c r="C141" s="246"/>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row>
    <row r="142" spans="1:33" x14ac:dyDescent="0.2">
      <c r="A142" s="179"/>
      <c r="B142" s="245"/>
      <c r="C142" s="248"/>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c r="Z142" s="230"/>
      <c r="AA142" s="230"/>
      <c r="AB142" s="230"/>
      <c r="AC142" s="230"/>
      <c r="AD142" s="230"/>
      <c r="AE142" s="230"/>
      <c r="AF142" s="230"/>
      <c r="AG142" s="230"/>
    </row>
    <row r="143" spans="1:33" x14ac:dyDescent="0.2">
      <c r="A143" s="179" t="s">
        <v>111</v>
      </c>
      <c r="B143" s="234" t="s">
        <v>50</v>
      </c>
      <c r="C143" s="200" t="s">
        <v>36</v>
      </c>
      <c r="D143" s="224"/>
      <c r="E143" s="224"/>
      <c r="F143" s="224"/>
      <c r="G143" s="224"/>
      <c r="H143" s="224"/>
      <c r="I143" s="224"/>
      <c r="J143" s="224"/>
      <c r="K143" s="224"/>
      <c r="L143" s="224"/>
      <c r="M143" s="224"/>
      <c r="N143" s="224"/>
      <c r="O143" s="224"/>
      <c r="P143" s="224"/>
      <c r="Q143" s="224"/>
      <c r="R143" s="224"/>
      <c r="S143" s="224"/>
      <c r="T143" s="224"/>
      <c r="U143" s="224"/>
      <c r="V143" s="224"/>
      <c r="W143" s="224"/>
      <c r="X143" s="224"/>
      <c r="Y143" s="224"/>
      <c r="Z143" s="224"/>
      <c r="AA143" s="224"/>
      <c r="AB143" s="224"/>
      <c r="AC143" s="224"/>
      <c r="AD143" s="224"/>
      <c r="AE143" s="224"/>
      <c r="AF143" s="224"/>
      <c r="AG143" s="224"/>
    </row>
    <row r="144" spans="1:33" x14ac:dyDescent="0.2">
      <c r="A144" s="179"/>
      <c r="B144" s="249" t="s">
        <v>1111</v>
      </c>
      <c r="C144" s="250">
        <f>SUM(D144:DA144)</f>
        <v>25000</v>
      </c>
      <c r="D144" s="203">
        <v>0</v>
      </c>
      <c r="E144" s="203">
        <v>25000</v>
      </c>
      <c r="F144" s="203">
        <v>0</v>
      </c>
      <c r="G144" s="203">
        <v>0</v>
      </c>
      <c r="H144" s="203">
        <v>0</v>
      </c>
      <c r="I144" s="203">
        <v>0</v>
      </c>
      <c r="J144" s="203">
        <v>0</v>
      </c>
      <c r="K144" s="203">
        <v>0</v>
      </c>
      <c r="L144" s="203">
        <v>0</v>
      </c>
      <c r="M144" s="203">
        <v>0</v>
      </c>
      <c r="N144" s="203">
        <v>0</v>
      </c>
      <c r="O144" s="203">
        <v>0</v>
      </c>
      <c r="P144" s="203">
        <v>0</v>
      </c>
      <c r="Q144" s="203">
        <v>0</v>
      </c>
      <c r="R144" s="203">
        <v>0</v>
      </c>
      <c r="S144" s="203">
        <v>0</v>
      </c>
      <c r="T144" s="203">
        <v>0</v>
      </c>
      <c r="U144" s="203">
        <v>0</v>
      </c>
      <c r="V144" s="203">
        <v>0</v>
      </c>
      <c r="W144" s="203">
        <v>0</v>
      </c>
      <c r="X144" s="203">
        <v>0</v>
      </c>
      <c r="Y144" s="203">
        <v>0</v>
      </c>
      <c r="Z144" s="203">
        <v>0</v>
      </c>
      <c r="AA144" s="203">
        <v>0</v>
      </c>
      <c r="AB144" s="203">
        <v>0</v>
      </c>
      <c r="AC144" s="203">
        <v>0</v>
      </c>
      <c r="AD144" s="203">
        <v>0</v>
      </c>
      <c r="AE144" s="203">
        <v>0</v>
      </c>
      <c r="AF144" s="203">
        <v>0</v>
      </c>
      <c r="AG144" s="203">
        <v>0</v>
      </c>
    </row>
    <row r="145" spans="1:33" x14ac:dyDescent="0.2">
      <c r="A145" s="179"/>
      <c r="B145" s="249" t="s">
        <v>1031</v>
      </c>
      <c r="C145" s="250">
        <f>SUM(D145:DA145)</f>
        <v>500000</v>
      </c>
      <c r="D145" s="203">
        <v>0</v>
      </c>
      <c r="E145" s="203">
        <v>0</v>
      </c>
      <c r="F145" s="203">
        <v>0</v>
      </c>
      <c r="G145" s="203">
        <v>0</v>
      </c>
      <c r="H145" s="203">
        <v>0</v>
      </c>
      <c r="I145" s="203">
        <v>0</v>
      </c>
      <c r="J145" s="203">
        <v>0</v>
      </c>
      <c r="K145" s="203">
        <v>0</v>
      </c>
      <c r="L145" s="203">
        <v>0</v>
      </c>
      <c r="M145" s="203">
        <v>0</v>
      </c>
      <c r="N145" s="203">
        <v>0</v>
      </c>
      <c r="O145" s="203">
        <v>0</v>
      </c>
      <c r="P145" s="203">
        <v>0</v>
      </c>
      <c r="Q145" s="203">
        <v>0</v>
      </c>
      <c r="R145" s="203">
        <v>0</v>
      </c>
      <c r="S145" s="203">
        <v>0</v>
      </c>
      <c r="T145" s="203">
        <v>0</v>
      </c>
      <c r="U145" s="203">
        <v>0</v>
      </c>
      <c r="V145" s="203">
        <v>0</v>
      </c>
      <c r="W145" s="203">
        <v>0</v>
      </c>
      <c r="X145" s="203">
        <v>0</v>
      </c>
      <c r="Y145" s="203">
        <v>500000</v>
      </c>
      <c r="Z145" s="203">
        <v>0</v>
      </c>
      <c r="AA145" s="203">
        <v>0</v>
      </c>
      <c r="AB145" s="203">
        <v>0</v>
      </c>
      <c r="AC145" s="203">
        <v>0</v>
      </c>
      <c r="AD145" s="203">
        <v>0</v>
      </c>
      <c r="AE145" s="203">
        <v>0</v>
      </c>
      <c r="AF145" s="203">
        <v>0</v>
      </c>
      <c r="AG145" s="203">
        <v>0</v>
      </c>
    </row>
    <row r="146" spans="1:33" x14ac:dyDescent="0.2">
      <c r="A146" s="179"/>
      <c r="B146" s="249" t="s">
        <v>8</v>
      </c>
      <c r="C146" s="251">
        <f>SUM(D146:DA146)</f>
        <v>0</v>
      </c>
      <c r="D146" s="211">
        <v>0</v>
      </c>
      <c r="E146" s="211">
        <v>0</v>
      </c>
      <c r="F146" s="211">
        <v>0</v>
      </c>
      <c r="G146" s="211">
        <v>0</v>
      </c>
      <c r="H146" s="211">
        <v>0</v>
      </c>
      <c r="I146" s="211">
        <v>0</v>
      </c>
      <c r="J146" s="211">
        <v>0</v>
      </c>
      <c r="K146" s="211">
        <v>0</v>
      </c>
      <c r="L146" s="211">
        <v>0</v>
      </c>
      <c r="M146" s="211">
        <v>0</v>
      </c>
      <c r="N146" s="211">
        <v>0</v>
      </c>
      <c r="O146" s="211">
        <v>0</v>
      </c>
      <c r="P146" s="211">
        <v>0</v>
      </c>
      <c r="Q146" s="211">
        <v>0</v>
      </c>
      <c r="R146" s="211">
        <v>0</v>
      </c>
      <c r="S146" s="211">
        <v>0</v>
      </c>
      <c r="T146" s="211">
        <v>0</v>
      </c>
      <c r="U146" s="211">
        <v>0</v>
      </c>
      <c r="V146" s="211">
        <v>0</v>
      </c>
      <c r="W146" s="211">
        <v>0</v>
      </c>
      <c r="X146" s="211">
        <v>0</v>
      </c>
      <c r="Y146" s="211">
        <v>0</v>
      </c>
      <c r="Z146" s="211">
        <v>0</v>
      </c>
      <c r="AA146" s="211">
        <v>0</v>
      </c>
      <c r="AB146" s="211">
        <v>0</v>
      </c>
      <c r="AC146" s="211">
        <v>0</v>
      </c>
      <c r="AD146" s="211">
        <v>0</v>
      </c>
      <c r="AE146" s="211">
        <v>0</v>
      </c>
      <c r="AF146" s="211">
        <v>0</v>
      </c>
      <c r="AG146" s="211">
        <v>0</v>
      </c>
    </row>
    <row r="147" spans="1:33" ht="13.5" thickBot="1" x14ac:dyDescent="0.25">
      <c r="A147" s="179" t="s">
        <v>112</v>
      </c>
      <c r="B147" s="214" t="s">
        <v>148</v>
      </c>
      <c r="C147" s="268">
        <f>SUM(D147:DA147)</f>
        <v>525000</v>
      </c>
      <c r="D147" s="265">
        <f>SUM(D144:D146)</f>
        <v>0</v>
      </c>
      <c r="E147" s="265">
        <f t="shared" ref="E147:AG147" si="16">SUM(E144:E146)</f>
        <v>25000</v>
      </c>
      <c r="F147" s="265">
        <f t="shared" si="16"/>
        <v>0</v>
      </c>
      <c r="G147" s="265">
        <f t="shared" si="16"/>
        <v>0</v>
      </c>
      <c r="H147" s="265">
        <f t="shared" si="16"/>
        <v>0</v>
      </c>
      <c r="I147" s="265">
        <f t="shared" si="16"/>
        <v>0</v>
      </c>
      <c r="J147" s="265">
        <f t="shared" si="16"/>
        <v>0</v>
      </c>
      <c r="K147" s="265">
        <f t="shared" si="16"/>
        <v>0</v>
      </c>
      <c r="L147" s="265">
        <f t="shared" si="16"/>
        <v>0</v>
      </c>
      <c r="M147" s="265">
        <f t="shared" si="16"/>
        <v>0</v>
      </c>
      <c r="N147" s="265">
        <f t="shared" si="16"/>
        <v>0</v>
      </c>
      <c r="O147" s="265">
        <f t="shared" si="16"/>
        <v>0</v>
      </c>
      <c r="P147" s="265">
        <f t="shared" si="16"/>
        <v>0</v>
      </c>
      <c r="Q147" s="265">
        <f t="shared" si="16"/>
        <v>0</v>
      </c>
      <c r="R147" s="265">
        <f t="shared" si="16"/>
        <v>0</v>
      </c>
      <c r="S147" s="265">
        <f t="shared" si="16"/>
        <v>0</v>
      </c>
      <c r="T147" s="265">
        <f t="shared" si="16"/>
        <v>0</v>
      </c>
      <c r="U147" s="265">
        <f t="shared" si="16"/>
        <v>0</v>
      </c>
      <c r="V147" s="265">
        <f t="shared" si="16"/>
        <v>0</v>
      </c>
      <c r="W147" s="265">
        <f t="shared" si="16"/>
        <v>0</v>
      </c>
      <c r="X147" s="265">
        <f t="shared" si="16"/>
        <v>0</v>
      </c>
      <c r="Y147" s="265">
        <f t="shared" si="16"/>
        <v>500000</v>
      </c>
      <c r="Z147" s="265">
        <f t="shared" si="16"/>
        <v>0</v>
      </c>
      <c r="AA147" s="265">
        <f t="shared" si="16"/>
        <v>0</v>
      </c>
      <c r="AB147" s="265">
        <f t="shared" si="16"/>
        <v>0</v>
      </c>
      <c r="AC147" s="265">
        <f t="shared" si="16"/>
        <v>0</v>
      </c>
      <c r="AD147" s="265">
        <f t="shared" si="16"/>
        <v>0</v>
      </c>
      <c r="AE147" s="265">
        <f t="shared" si="16"/>
        <v>0</v>
      </c>
      <c r="AF147" s="265">
        <f t="shared" si="16"/>
        <v>0</v>
      </c>
      <c r="AG147" s="265">
        <f t="shared" si="16"/>
        <v>0</v>
      </c>
    </row>
    <row r="148" spans="1:33" x14ac:dyDescent="0.2">
      <c r="A148" s="179"/>
      <c r="B148" s="227"/>
      <c r="C148" s="250"/>
      <c r="D148" s="203"/>
      <c r="E148" s="203"/>
      <c r="F148" s="203"/>
      <c r="G148" s="203"/>
      <c r="H148" s="203"/>
      <c r="I148" s="203"/>
      <c r="J148" s="203"/>
      <c r="K148" s="203"/>
      <c r="L148" s="203"/>
      <c r="M148" s="203"/>
      <c r="N148" s="203"/>
      <c r="O148" s="203"/>
      <c r="P148" s="203"/>
      <c r="Q148" s="203"/>
      <c r="R148" s="203"/>
      <c r="S148" s="203"/>
      <c r="T148" s="203"/>
      <c r="U148" s="203"/>
      <c r="V148" s="203"/>
      <c r="W148" s="203"/>
      <c r="X148" s="203"/>
      <c r="Y148" s="203"/>
      <c r="Z148" s="203"/>
      <c r="AA148" s="203"/>
      <c r="AB148" s="203"/>
      <c r="AC148" s="203"/>
      <c r="AD148" s="203"/>
      <c r="AE148" s="203"/>
      <c r="AF148" s="203"/>
      <c r="AG148" s="203"/>
    </row>
    <row r="149" spans="1:33" ht="13.5" thickBot="1" x14ac:dyDescent="0.25">
      <c r="B149" s="269" t="s">
        <v>173</v>
      </c>
      <c r="C149" s="205"/>
      <c r="D149" s="230"/>
      <c r="E149" s="230"/>
      <c r="F149" s="230"/>
      <c r="G149" s="230"/>
      <c r="H149" s="230"/>
      <c r="I149" s="230"/>
      <c r="J149" s="230"/>
      <c r="K149" s="230"/>
      <c r="L149" s="230"/>
      <c r="M149" s="230"/>
      <c r="N149" s="230"/>
      <c r="O149" s="230"/>
      <c r="P149" s="230"/>
      <c r="Q149" s="230"/>
      <c r="R149" s="230"/>
      <c r="S149" s="230"/>
      <c r="T149" s="230"/>
      <c r="U149" s="230"/>
      <c r="V149" s="230"/>
      <c r="W149" s="230"/>
      <c r="X149" s="230"/>
      <c r="Y149" s="230"/>
      <c r="Z149" s="230"/>
      <c r="AA149" s="230"/>
      <c r="AB149" s="230"/>
      <c r="AC149" s="230"/>
      <c r="AD149" s="230"/>
      <c r="AE149" s="230"/>
      <c r="AF149" s="230"/>
      <c r="AG149" s="230"/>
    </row>
    <row r="150" spans="1:33" x14ac:dyDescent="0.2">
      <c r="B150" s="252" t="s">
        <v>85</v>
      </c>
      <c r="C150" s="192" t="s">
        <v>36</v>
      </c>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row>
    <row r="151" spans="1:33" ht="63.75" x14ac:dyDescent="0.2">
      <c r="A151" s="185" t="s">
        <v>113</v>
      </c>
      <c r="B151" s="228" t="s">
        <v>142</v>
      </c>
      <c r="C151" s="195" t="str">
        <f t="shared" ref="C151:AG151" si="17">C9</f>
        <v>N/A</v>
      </c>
      <c r="D151" s="232" t="str">
        <f t="shared" si="17"/>
        <v>General Appropriation Programs</v>
      </c>
      <c r="E151" s="232" t="str">
        <f t="shared" si="17"/>
        <v>Proviso 118.14(B)(42)(a-c)</v>
      </c>
      <c r="F151" s="232" t="str">
        <f t="shared" si="17"/>
        <v>Indirect Cost Recovery</v>
      </c>
      <c r="G151" s="232" t="str">
        <f t="shared" si="17"/>
        <v>Section 40-1-180 fines and costs</v>
      </c>
      <c r="H151" s="232" t="str">
        <f t="shared" si="17"/>
        <v>Fire Insurance Premium Tax</v>
      </c>
      <c r="I151" s="232" t="str">
        <f t="shared" si="17"/>
        <v>Act 60 - Fire Insurance Premium Tax</v>
      </c>
      <c r="J151" s="232" t="str">
        <f t="shared" si="17"/>
        <v>Immigration Fees</v>
      </c>
      <c r="K151" s="232" t="str">
        <f t="shared" si="17"/>
        <v>Elevators/Amusement Ride Fees</v>
      </c>
      <c r="L151" s="232" t="str">
        <f t="shared" si="17"/>
        <v>State Fire Marshal Fees</v>
      </c>
      <c r="M151" s="232" t="str">
        <f t="shared" si="17"/>
        <v>Fire Academy Fees</v>
      </c>
      <c r="N151" s="232" t="str">
        <f t="shared" si="17"/>
        <v>Building Code, Manuf'd Housing and Boiler Safety Program  Fees</v>
      </c>
      <c r="O151" s="232" t="str">
        <f t="shared" si="17"/>
        <v>Donations-Fire Academy</v>
      </c>
      <c r="P151" s="232" t="str">
        <f t="shared" si="17"/>
        <v>State Fire Marshal Fees</v>
      </c>
      <c r="Q151" s="232" t="str">
        <f t="shared" si="17"/>
        <v>Professional and Occupational Licensee Fees</v>
      </c>
      <c r="R151" s="232" t="str">
        <f t="shared" si="17"/>
        <v>State Fire Marshal - Pyro and LP Gas Fees</v>
      </c>
      <c r="S151" s="232" t="str">
        <f t="shared" si="17"/>
        <v>Federal Grants-Unrestricted R3601PAFL016 (matching funds for 2015 Flood Grant)</v>
      </c>
      <c r="T151" s="232" t="str">
        <f t="shared" si="17"/>
        <v>Sale of Surplus Materials &amp; Supplies</v>
      </c>
      <c r="U151" s="232" t="str">
        <f t="shared" si="17"/>
        <v xml:space="preserve">Refunds from Prior Year Expenditures </v>
      </c>
      <c r="V151" s="232" t="str">
        <f t="shared" si="17"/>
        <v>Insurance Claims</v>
      </c>
      <c r="W151" s="232" t="str">
        <f t="shared" si="17"/>
        <v>Research and Education Funds</v>
      </c>
      <c r="X151" s="232" t="str">
        <f t="shared" si="17"/>
        <v>Real Estate Appraisal Registry</v>
      </c>
      <c r="Y151" s="232" t="str">
        <f t="shared" si="17"/>
        <v>V-Safe Grant Funds</v>
      </c>
      <c r="Z151" s="232" t="str">
        <f t="shared" si="17"/>
        <v>Real Estate Vacation Time Share Recovery Fund</v>
      </c>
      <c r="AA151" s="232" t="str">
        <f t="shared" si="17"/>
        <v>Capital Projects</v>
      </c>
      <c r="AB151" s="232" t="str">
        <f t="shared" si="17"/>
        <v>Auctioneer Recovery Funds</v>
      </c>
      <c r="AC151" s="232" t="str">
        <f t="shared" si="17"/>
        <v>State Fire Training FEMA Grant</v>
      </c>
      <c r="AD151" s="232" t="str">
        <f t="shared" si="17"/>
        <v>OSHA 21D Grant</v>
      </c>
      <c r="AE151" s="232" t="str">
        <f t="shared" si="17"/>
        <v>OSHA 23G Grant</v>
      </c>
      <c r="AF151" s="232" t="str">
        <f t="shared" si="17"/>
        <v>OSHA BLS Grant</v>
      </c>
      <c r="AG151" s="232" t="str">
        <f t="shared" si="17"/>
        <v>Public Assistance Flood 2015 R3601PAFL016</v>
      </c>
    </row>
    <row r="152" spans="1:33" x14ac:dyDescent="0.2">
      <c r="A152" s="179" t="s">
        <v>114</v>
      </c>
      <c r="B152" s="194" t="s">
        <v>31</v>
      </c>
      <c r="C152" s="195" t="str">
        <f t="shared" ref="C152:AG152" si="18">C10</f>
        <v>N/A</v>
      </c>
      <c r="D152" s="232" t="str">
        <f t="shared" si="18"/>
        <v>Recurring</v>
      </c>
      <c r="E152" s="232" t="str">
        <f t="shared" si="18"/>
        <v>One-Time</v>
      </c>
      <c r="F152" s="232" t="str">
        <f t="shared" si="18"/>
        <v>Recurring</v>
      </c>
      <c r="G152" s="232" t="str">
        <f t="shared" si="18"/>
        <v>Recurring</v>
      </c>
      <c r="H152" s="232" t="str">
        <f t="shared" si="18"/>
        <v>Recurring</v>
      </c>
      <c r="I152" s="232" t="str">
        <f t="shared" si="18"/>
        <v>Recurring</v>
      </c>
      <c r="J152" s="232" t="str">
        <f t="shared" si="18"/>
        <v>Recurring</v>
      </c>
      <c r="K152" s="232" t="str">
        <f t="shared" si="18"/>
        <v>Recurring</v>
      </c>
      <c r="L152" s="232" t="str">
        <f t="shared" si="18"/>
        <v>Recurring</v>
      </c>
      <c r="M152" s="232" t="str">
        <f t="shared" si="18"/>
        <v>Recurring</v>
      </c>
      <c r="N152" s="232" t="str">
        <f t="shared" si="18"/>
        <v>Recurring</v>
      </c>
      <c r="O152" s="232" t="str">
        <f t="shared" si="18"/>
        <v>One-Time</v>
      </c>
      <c r="P152" s="232" t="str">
        <f t="shared" si="18"/>
        <v>Recurring</v>
      </c>
      <c r="Q152" s="232" t="str">
        <f t="shared" si="18"/>
        <v>Recurring</v>
      </c>
      <c r="R152" s="232" t="str">
        <f t="shared" si="18"/>
        <v>Recurring</v>
      </c>
      <c r="S152" s="232" t="str">
        <f t="shared" si="18"/>
        <v>Recurring</v>
      </c>
      <c r="T152" s="232" t="str">
        <f t="shared" si="18"/>
        <v>Recurring</v>
      </c>
      <c r="U152" s="232" t="str">
        <f t="shared" si="18"/>
        <v>Recurring</v>
      </c>
      <c r="V152" s="232" t="str">
        <f t="shared" si="18"/>
        <v>Recurring</v>
      </c>
      <c r="W152" s="232" t="str">
        <f t="shared" si="18"/>
        <v>Recurring</v>
      </c>
      <c r="X152" s="232" t="str">
        <f t="shared" si="18"/>
        <v>Recurring</v>
      </c>
      <c r="Y152" s="232" t="str">
        <f t="shared" si="18"/>
        <v>One-Time</v>
      </c>
      <c r="Z152" s="232" t="str">
        <f t="shared" si="18"/>
        <v>Recurring</v>
      </c>
      <c r="AA152" s="232" t="str">
        <f t="shared" si="18"/>
        <v>Recurring</v>
      </c>
      <c r="AB152" s="232" t="str">
        <f t="shared" si="18"/>
        <v>Recurring</v>
      </c>
      <c r="AC152" s="232" t="str">
        <f t="shared" si="18"/>
        <v>One-Time</v>
      </c>
      <c r="AD152" s="232" t="str">
        <f t="shared" si="18"/>
        <v>One-Time</v>
      </c>
      <c r="AE152" s="232" t="str">
        <f t="shared" si="18"/>
        <v>One-Time</v>
      </c>
      <c r="AF152" s="232" t="str">
        <f t="shared" si="18"/>
        <v>One-Time</v>
      </c>
      <c r="AG152" s="232" t="str">
        <f t="shared" si="18"/>
        <v>One-Time</v>
      </c>
    </row>
    <row r="153" spans="1:33" x14ac:dyDescent="0.2">
      <c r="A153" s="179" t="s">
        <v>115</v>
      </c>
      <c r="B153" s="194" t="s">
        <v>51</v>
      </c>
      <c r="C153" s="195" t="str">
        <f t="shared" ref="C153:AG153" si="19">C11</f>
        <v>N/A</v>
      </c>
      <c r="D153" s="232" t="str">
        <f t="shared" si="19"/>
        <v>State</v>
      </c>
      <c r="E153" s="232" t="str">
        <f t="shared" si="19"/>
        <v>State</v>
      </c>
      <c r="F153" s="232" t="str">
        <f t="shared" si="19"/>
        <v>Other</v>
      </c>
      <c r="G153" s="232" t="str">
        <f t="shared" si="19"/>
        <v>Other</v>
      </c>
      <c r="H153" s="232" t="str">
        <f t="shared" si="19"/>
        <v>Other</v>
      </c>
      <c r="I153" s="232" t="str">
        <f t="shared" si="19"/>
        <v>Other</v>
      </c>
      <c r="J153" s="232" t="str">
        <f t="shared" si="19"/>
        <v>Other</v>
      </c>
      <c r="K153" s="232" t="str">
        <f t="shared" si="19"/>
        <v>Other</v>
      </c>
      <c r="L153" s="232" t="str">
        <f t="shared" si="19"/>
        <v>Other</v>
      </c>
      <c r="M153" s="232" t="str">
        <f t="shared" si="19"/>
        <v>Other</v>
      </c>
      <c r="N153" s="232" t="str">
        <f t="shared" si="19"/>
        <v>Other</v>
      </c>
      <c r="O153" s="232" t="str">
        <f t="shared" si="19"/>
        <v>Other</v>
      </c>
      <c r="P153" s="232" t="str">
        <f t="shared" si="19"/>
        <v>Other</v>
      </c>
      <c r="Q153" s="232" t="str">
        <f t="shared" si="19"/>
        <v>Other</v>
      </c>
      <c r="R153" s="232" t="str">
        <f t="shared" si="19"/>
        <v>Other</v>
      </c>
      <c r="S153" s="232" t="str">
        <f t="shared" si="19"/>
        <v>Other</v>
      </c>
      <c r="T153" s="232" t="str">
        <f t="shared" si="19"/>
        <v>Other</v>
      </c>
      <c r="U153" s="232" t="str">
        <f t="shared" si="19"/>
        <v>Other</v>
      </c>
      <c r="V153" s="232" t="str">
        <f t="shared" si="19"/>
        <v>Other</v>
      </c>
      <c r="W153" s="232" t="str">
        <f t="shared" si="19"/>
        <v>Other</v>
      </c>
      <c r="X153" s="232" t="str">
        <f t="shared" si="19"/>
        <v>Other</v>
      </c>
      <c r="Y153" s="232" t="str">
        <f t="shared" si="19"/>
        <v>Other</v>
      </c>
      <c r="Z153" s="232" t="str">
        <f t="shared" si="19"/>
        <v>Other</v>
      </c>
      <c r="AA153" s="232" t="str">
        <f t="shared" si="19"/>
        <v>Other</v>
      </c>
      <c r="AB153" s="232" t="str">
        <f t="shared" si="19"/>
        <v>Other</v>
      </c>
      <c r="AC153" s="232" t="str">
        <f t="shared" si="19"/>
        <v>Federal</v>
      </c>
      <c r="AD153" s="232" t="str">
        <f t="shared" si="19"/>
        <v>Federal</v>
      </c>
      <c r="AE153" s="232" t="str">
        <f t="shared" si="19"/>
        <v>Federal</v>
      </c>
      <c r="AF153" s="232" t="str">
        <f t="shared" si="19"/>
        <v>Federal</v>
      </c>
      <c r="AG153" s="232" t="str">
        <f t="shared" si="19"/>
        <v>Federal</v>
      </c>
    </row>
    <row r="154" spans="1:33" ht="76.5" x14ac:dyDescent="0.2">
      <c r="A154" s="185" t="s">
        <v>116</v>
      </c>
      <c r="B154" s="194" t="s">
        <v>46</v>
      </c>
      <c r="C154" s="195" t="str">
        <f t="shared" ref="C154:AG154" si="20">C31</f>
        <v>N/A</v>
      </c>
      <c r="D154" s="253" t="str">
        <f t="shared" si="20"/>
        <v>II.A. OSHA Voluntary II.B. Occupational Safety &amp; Health, III. Employee Benefits</v>
      </c>
      <c r="E154" s="253" t="str">
        <f t="shared" si="20"/>
        <v>II.D. State Fire Marshal</v>
      </c>
      <c r="F154" s="253" t="str">
        <f t="shared" si="20"/>
        <v>II. A. OSHA Voluntary, II.B. Occupational Safety &amp; Health</v>
      </c>
      <c r="G154" s="253" t="str">
        <f t="shared" si="20"/>
        <v>II. G. Labor Services, II.B. Occupational Safety &amp; Health , II.D. State Fire Marshal, II.H. Building Codes</v>
      </c>
      <c r="H154" s="253" t="str">
        <f t="shared" si="20"/>
        <v>II.D. State Fire Marshal, II.C. Fire Academy, II. H. Building Codes, III.Employee Benefits</v>
      </c>
      <c r="I154" s="253" t="str">
        <f t="shared" si="20"/>
        <v>II. C. Fire Academy</v>
      </c>
      <c r="J154" s="253" t="str">
        <f t="shared" si="20"/>
        <v>I. Administration</v>
      </c>
      <c r="K154" s="253" t="str">
        <f t="shared" si="20"/>
        <v>II.E. Elevators/Amusement, III. Employee Benefits</v>
      </c>
      <c r="L154" s="253" t="str">
        <f t="shared" si="20"/>
        <v>II.D. State Fire Marshal</v>
      </c>
      <c r="M154" s="253" t="str">
        <f t="shared" si="20"/>
        <v>II.C. Fire Academy, III. Employee Benefits</v>
      </c>
      <c r="N154" s="253" t="str">
        <f t="shared" si="20"/>
        <v>II.H.Building Codes, III. Employee Benefits</v>
      </c>
      <c r="O154" s="253" t="str">
        <f t="shared" si="20"/>
        <v>II.C. Fire Academy</v>
      </c>
      <c r="P154" s="253" t="str">
        <f t="shared" si="20"/>
        <v>II. D. State Fire Marshal, III.Employee Benefits</v>
      </c>
      <c r="Q154" s="253" t="str">
        <f t="shared" si="20"/>
        <v>II.F. Prof &amp; Occup, III. Employee Benefits</v>
      </c>
      <c r="R154" s="253" t="str">
        <f t="shared" si="20"/>
        <v>II.D. State Fire Marshal, III. Employee Benefits</v>
      </c>
      <c r="S154" s="253" t="str">
        <f t="shared" si="20"/>
        <v>II.C. Fire Academy, III.Employee Benefits</v>
      </c>
      <c r="T154" s="253" t="str">
        <f t="shared" si="20"/>
        <v>I. Administration</v>
      </c>
      <c r="U154" s="253" t="str">
        <f t="shared" si="20"/>
        <v>I. Administration, II.F. Pol &amp; Occup</v>
      </c>
      <c r="V154" s="253" t="str">
        <f t="shared" si="20"/>
        <v>II. D. State Fire Marshal</v>
      </c>
      <c r="W154" s="253" t="str">
        <f t="shared" si="20"/>
        <v>II. F. Prof &amp; Occup</v>
      </c>
      <c r="X154" s="253" t="str">
        <f t="shared" si="20"/>
        <v>II. F. Prof &amp; Occup</v>
      </c>
      <c r="Y154" s="253" t="str">
        <f t="shared" si="20"/>
        <v>II.D. State Fire Marshal</v>
      </c>
      <c r="Z154" s="253" t="str">
        <f t="shared" si="20"/>
        <v>II. F. Prof &amp; Occup</v>
      </c>
      <c r="AA154" s="253" t="str">
        <f t="shared" si="20"/>
        <v>II.C. Fire Academy</v>
      </c>
      <c r="AB154" s="253" t="str">
        <f t="shared" si="20"/>
        <v>II. F. Prof &amp; Occup</v>
      </c>
      <c r="AC154" s="253" t="str">
        <f t="shared" si="20"/>
        <v xml:space="preserve">II. C. Fire Academy, III.Employee Benefits </v>
      </c>
      <c r="AD154" s="253" t="str">
        <f t="shared" si="20"/>
        <v>II.A. OSHA Voluntary, III. Employee Benefits</v>
      </c>
      <c r="AE154" s="253" t="str">
        <f t="shared" si="20"/>
        <v>II.A. OSHA Voluntary  and II.B. Occupational Safety &amp; Health III. Employee Benefits</v>
      </c>
      <c r="AF154" s="253" t="str">
        <f t="shared" si="20"/>
        <v>II.B. Occupational Safety &amp; Health, III. Employee Benefits</v>
      </c>
      <c r="AG154" s="253" t="str">
        <f t="shared" si="20"/>
        <v>II.C. Fire Academy, III.Employee Benefits</v>
      </c>
    </row>
    <row r="155" spans="1:33" x14ac:dyDescent="0.2">
      <c r="A155" s="179" t="s">
        <v>117</v>
      </c>
      <c r="B155" s="194" t="str">
        <f t="shared" ref="B155:AG155" si="21">B39</f>
        <v xml:space="preserve">Total allowed to spend by END of 2016-17  </v>
      </c>
      <c r="C155" s="202">
        <f t="shared" si="21"/>
        <v>43552915.050000004</v>
      </c>
      <c r="D155" s="198">
        <f t="shared" si="21"/>
        <v>1401201.4500000002</v>
      </c>
      <c r="E155" s="198">
        <f t="shared" si="21"/>
        <v>25000</v>
      </c>
      <c r="F155" s="198">
        <f t="shared" si="21"/>
        <v>0</v>
      </c>
      <c r="G155" s="198">
        <f t="shared" si="21"/>
        <v>0</v>
      </c>
      <c r="H155" s="198">
        <f t="shared" si="21"/>
        <v>14645332</v>
      </c>
      <c r="I155" s="198">
        <f t="shared" si="21"/>
        <v>0</v>
      </c>
      <c r="J155" s="198">
        <f t="shared" si="21"/>
        <v>0</v>
      </c>
      <c r="K155" s="198">
        <f t="shared" si="21"/>
        <v>0</v>
      </c>
      <c r="L155" s="198">
        <f t="shared" si="21"/>
        <v>0</v>
      </c>
      <c r="M155" s="198">
        <f t="shared" si="21"/>
        <v>0</v>
      </c>
      <c r="N155" s="198">
        <f t="shared" si="21"/>
        <v>0</v>
      </c>
      <c r="O155" s="198">
        <f t="shared" si="21"/>
        <v>0</v>
      </c>
      <c r="P155" s="198">
        <f t="shared" si="21"/>
        <v>22145776</v>
      </c>
      <c r="Q155" s="198">
        <f t="shared" si="21"/>
        <v>0</v>
      </c>
      <c r="R155" s="198">
        <f t="shared" si="21"/>
        <v>0</v>
      </c>
      <c r="S155" s="198">
        <f t="shared" si="21"/>
        <v>0</v>
      </c>
      <c r="T155" s="198">
        <f t="shared" si="21"/>
        <v>0</v>
      </c>
      <c r="U155" s="198">
        <f t="shared" si="21"/>
        <v>0</v>
      </c>
      <c r="V155" s="198">
        <f t="shared" si="21"/>
        <v>0</v>
      </c>
      <c r="W155" s="198">
        <f t="shared" si="21"/>
        <v>200000</v>
      </c>
      <c r="X155" s="198">
        <f t="shared" si="21"/>
        <v>100000</v>
      </c>
      <c r="Y155" s="198">
        <f t="shared" si="21"/>
        <v>500000</v>
      </c>
      <c r="Z155" s="198">
        <f t="shared" si="21"/>
        <v>0</v>
      </c>
      <c r="AA155" s="198">
        <f t="shared" si="21"/>
        <v>1247138.6000000001</v>
      </c>
      <c r="AB155" s="198">
        <f t="shared" si="21"/>
        <v>0</v>
      </c>
      <c r="AC155" s="198">
        <f t="shared" si="21"/>
        <v>7970</v>
      </c>
      <c r="AD155" s="198">
        <f t="shared" si="21"/>
        <v>795040</v>
      </c>
      <c r="AE155" s="198">
        <f t="shared" si="21"/>
        <v>2402884</v>
      </c>
      <c r="AF155" s="198">
        <f t="shared" si="21"/>
        <v>82573</v>
      </c>
      <c r="AG155" s="198">
        <f t="shared" si="21"/>
        <v>0</v>
      </c>
    </row>
    <row r="156" spans="1:33" x14ac:dyDescent="0.2">
      <c r="A156" s="179" t="s">
        <v>118</v>
      </c>
      <c r="B156" s="194" t="s">
        <v>49</v>
      </c>
      <c r="C156" s="202">
        <f>C139</f>
        <v>39679542.610000007</v>
      </c>
      <c r="D156" s="198">
        <f>D139</f>
        <v>1401201.5200000003</v>
      </c>
      <c r="E156" s="198">
        <f>E139</f>
        <v>0</v>
      </c>
      <c r="F156" s="198">
        <f>F139</f>
        <v>0</v>
      </c>
      <c r="G156" s="198">
        <f>G139</f>
        <v>0</v>
      </c>
      <c r="H156" s="198">
        <f t="shared" ref="H156:AE156" si="22">H139</f>
        <v>12886308.550000001</v>
      </c>
      <c r="I156" s="198">
        <f t="shared" si="22"/>
        <v>0</v>
      </c>
      <c r="J156" s="198">
        <f t="shared" si="22"/>
        <v>0</v>
      </c>
      <c r="K156" s="198">
        <f t="shared" si="22"/>
        <v>0</v>
      </c>
      <c r="L156" s="198">
        <f t="shared" si="22"/>
        <v>0</v>
      </c>
      <c r="M156" s="198">
        <f t="shared" si="22"/>
        <v>0</v>
      </c>
      <c r="N156" s="198">
        <f t="shared" si="22"/>
        <v>0</v>
      </c>
      <c r="O156" s="198">
        <f t="shared" si="22"/>
        <v>0</v>
      </c>
      <c r="P156" s="198">
        <f t="shared" si="22"/>
        <v>21150060.52</v>
      </c>
      <c r="Q156" s="198">
        <f t="shared" si="22"/>
        <v>0</v>
      </c>
      <c r="R156" s="198">
        <f t="shared" si="22"/>
        <v>0</v>
      </c>
      <c r="S156" s="198">
        <f t="shared" si="22"/>
        <v>0</v>
      </c>
      <c r="T156" s="198">
        <f t="shared" si="22"/>
        <v>0</v>
      </c>
      <c r="U156" s="198">
        <f t="shared" si="22"/>
        <v>0</v>
      </c>
      <c r="V156" s="198">
        <f t="shared" si="22"/>
        <v>0</v>
      </c>
      <c r="W156" s="198">
        <f t="shared" si="22"/>
        <v>126272</v>
      </c>
      <c r="X156" s="198">
        <f t="shared" si="22"/>
        <v>48920</v>
      </c>
      <c r="Y156" s="198">
        <f t="shared" si="22"/>
        <v>0</v>
      </c>
      <c r="Z156" s="198">
        <f t="shared" si="22"/>
        <v>0</v>
      </c>
      <c r="AA156" s="198">
        <f t="shared" si="22"/>
        <v>809228.85</v>
      </c>
      <c r="AB156" s="198">
        <f t="shared" si="22"/>
        <v>0</v>
      </c>
      <c r="AC156" s="198">
        <f t="shared" si="22"/>
        <v>7969.7599999999993</v>
      </c>
      <c r="AD156" s="198">
        <f t="shared" si="22"/>
        <v>795040.27000000014</v>
      </c>
      <c r="AE156" s="198">
        <f t="shared" si="22"/>
        <v>2371968.5400000005</v>
      </c>
      <c r="AF156" s="198">
        <f>AF139</f>
        <v>82572.599999999977</v>
      </c>
      <c r="AG156" s="198">
        <f>AG139</f>
        <v>0</v>
      </c>
    </row>
    <row r="157" spans="1:33" s="181" customFormat="1" x14ac:dyDescent="0.2">
      <c r="A157" s="179" t="s">
        <v>119</v>
      </c>
      <c r="B157" s="194" t="s">
        <v>151</v>
      </c>
      <c r="C157" s="210">
        <f>C147</f>
        <v>525000</v>
      </c>
      <c r="D157" s="211">
        <f>D147</f>
        <v>0</v>
      </c>
      <c r="E157" s="211">
        <f>E147</f>
        <v>25000</v>
      </c>
      <c r="F157" s="211">
        <f>F147</f>
        <v>0</v>
      </c>
      <c r="G157" s="211">
        <f>G147</f>
        <v>0</v>
      </c>
      <c r="H157" s="211">
        <f t="shared" ref="H157:AE157" si="23">H147</f>
        <v>0</v>
      </c>
      <c r="I157" s="211">
        <f t="shared" si="23"/>
        <v>0</v>
      </c>
      <c r="J157" s="211">
        <f t="shared" si="23"/>
        <v>0</v>
      </c>
      <c r="K157" s="211">
        <f t="shared" si="23"/>
        <v>0</v>
      </c>
      <c r="L157" s="211">
        <f t="shared" si="23"/>
        <v>0</v>
      </c>
      <c r="M157" s="211">
        <f t="shared" si="23"/>
        <v>0</v>
      </c>
      <c r="N157" s="211">
        <f t="shared" si="23"/>
        <v>0</v>
      </c>
      <c r="O157" s="211">
        <f t="shared" si="23"/>
        <v>0</v>
      </c>
      <c r="P157" s="211">
        <f t="shared" si="23"/>
        <v>0</v>
      </c>
      <c r="Q157" s="211">
        <f t="shared" si="23"/>
        <v>0</v>
      </c>
      <c r="R157" s="211">
        <f t="shared" si="23"/>
        <v>0</v>
      </c>
      <c r="S157" s="211">
        <f t="shared" si="23"/>
        <v>0</v>
      </c>
      <c r="T157" s="211">
        <f t="shared" si="23"/>
        <v>0</v>
      </c>
      <c r="U157" s="211">
        <f t="shared" si="23"/>
        <v>0</v>
      </c>
      <c r="V157" s="211">
        <f t="shared" si="23"/>
        <v>0</v>
      </c>
      <c r="W157" s="211">
        <f t="shared" si="23"/>
        <v>0</v>
      </c>
      <c r="X157" s="211">
        <f t="shared" si="23"/>
        <v>0</v>
      </c>
      <c r="Y157" s="211">
        <f t="shared" si="23"/>
        <v>500000</v>
      </c>
      <c r="Z157" s="211">
        <f t="shared" si="23"/>
        <v>0</v>
      </c>
      <c r="AA157" s="211">
        <f t="shared" si="23"/>
        <v>0</v>
      </c>
      <c r="AB157" s="211">
        <f t="shared" si="23"/>
        <v>0</v>
      </c>
      <c r="AC157" s="211">
        <f t="shared" si="23"/>
        <v>0</v>
      </c>
      <c r="AD157" s="211">
        <f t="shared" si="23"/>
        <v>0</v>
      </c>
      <c r="AE157" s="211">
        <f t="shared" si="23"/>
        <v>0</v>
      </c>
      <c r="AF157" s="211">
        <f>AF147</f>
        <v>0</v>
      </c>
      <c r="AG157" s="211">
        <f>AG147</f>
        <v>0</v>
      </c>
    </row>
    <row r="158" spans="1:33" ht="13.5" thickBot="1" x14ac:dyDescent="0.25">
      <c r="A158" s="179" t="s">
        <v>120</v>
      </c>
      <c r="B158" s="222" t="s">
        <v>161</v>
      </c>
      <c r="C158" s="270">
        <f>SUM(D158:DA158)</f>
        <v>3348372.439999999</v>
      </c>
      <c r="D158" s="265">
        <f>D155-D156-D157</f>
        <v>-7.000000006519258E-2</v>
      </c>
      <c r="E158" s="265">
        <f t="shared" ref="E158:AG158" si="24">E155-E156-E157</f>
        <v>0</v>
      </c>
      <c r="F158" s="265">
        <f>F155-F156-F157</f>
        <v>0</v>
      </c>
      <c r="G158" s="265">
        <f>G155-G156-G157</f>
        <v>0</v>
      </c>
      <c r="H158" s="265">
        <f t="shared" ref="H158:AF158" si="25">H155-H156-H157</f>
        <v>1759023.4499999993</v>
      </c>
      <c r="I158" s="265">
        <f t="shared" si="25"/>
        <v>0</v>
      </c>
      <c r="J158" s="265">
        <f t="shared" si="25"/>
        <v>0</v>
      </c>
      <c r="K158" s="265">
        <f t="shared" si="25"/>
        <v>0</v>
      </c>
      <c r="L158" s="265">
        <f t="shared" si="25"/>
        <v>0</v>
      </c>
      <c r="M158" s="265">
        <f t="shared" si="25"/>
        <v>0</v>
      </c>
      <c r="N158" s="265">
        <f t="shared" si="25"/>
        <v>0</v>
      </c>
      <c r="O158" s="265">
        <f t="shared" si="25"/>
        <v>0</v>
      </c>
      <c r="P158" s="265">
        <f t="shared" si="25"/>
        <v>995715.48000000045</v>
      </c>
      <c r="Q158" s="265">
        <f t="shared" si="25"/>
        <v>0</v>
      </c>
      <c r="R158" s="265">
        <f t="shared" si="25"/>
        <v>0</v>
      </c>
      <c r="S158" s="265">
        <f t="shared" si="25"/>
        <v>0</v>
      </c>
      <c r="T158" s="265">
        <f t="shared" si="25"/>
        <v>0</v>
      </c>
      <c r="U158" s="265">
        <f t="shared" si="25"/>
        <v>0</v>
      </c>
      <c r="V158" s="265">
        <f t="shared" si="25"/>
        <v>0</v>
      </c>
      <c r="W158" s="265">
        <f t="shared" si="25"/>
        <v>73728</v>
      </c>
      <c r="X158" s="265">
        <f t="shared" si="25"/>
        <v>51080</v>
      </c>
      <c r="Y158" s="265">
        <f t="shared" si="25"/>
        <v>0</v>
      </c>
      <c r="Z158" s="265">
        <f t="shared" si="25"/>
        <v>0</v>
      </c>
      <c r="AA158" s="265">
        <f t="shared" si="25"/>
        <v>437909.75000000012</v>
      </c>
      <c r="AB158" s="265">
        <f t="shared" si="25"/>
        <v>0</v>
      </c>
      <c r="AC158" s="265">
        <f t="shared" si="25"/>
        <v>0.24000000000069122</v>
      </c>
      <c r="AD158" s="265">
        <f t="shared" si="25"/>
        <v>-0.27000000013504177</v>
      </c>
      <c r="AE158" s="265">
        <f t="shared" si="25"/>
        <v>30915.459999999497</v>
      </c>
      <c r="AF158" s="265">
        <f t="shared" si="25"/>
        <v>0.40000000002328306</v>
      </c>
      <c r="AG158" s="265">
        <f t="shared" si="24"/>
        <v>0</v>
      </c>
    </row>
    <row r="159" spans="1:33" s="181" customFormat="1" x14ac:dyDescent="0.2">
      <c r="A159" s="179"/>
      <c r="B159" s="223"/>
      <c r="C159" s="205"/>
      <c r="D159" s="224"/>
      <c r="E159" s="224"/>
      <c r="F159" s="224"/>
      <c r="G159" s="224"/>
      <c r="H159" s="224"/>
      <c r="I159" s="224"/>
      <c r="J159" s="224"/>
      <c r="K159" s="224"/>
      <c r="L159" s="224"/>
      <c r="M159" s="224"/>
      <c r="N159" s="224"/>
      <c r="O159" s="224"/>
      <c r="P159" s="224"/>
      <c r="Q159" s="224"/>
      <c r="R159" s="224"/>
      <c r="S159" s="224"/>
      <c r="T159" s="224"/>
      <c r="U159" s="224"/>
      <c r="V159" s="224"/>
      <c r="W159" s="224"/>
      <c r="X159" s="224"/>
      <c r="Y159" s="224"/>
      <c r="Z159" s="224"/>
      <c r="AA159" s="224"/>
      <c r="AB159" s="224"/>
      <c r="AC159" s="224"/>
      <c r="AD159" s="224"/>
      <c r="AE159" s="224"/>
      <c r="AF159" s="224"/>
      <c r="AG159" s="224"/>
    </row>
    <row r="160" spans="1:33" x14ac:dyDescent="0.2">
      <c r="A160" s="187" t="s">
        <v>35</v>
      </c>
      <c r="B160" s="258" t="s">
        <v>221</v>
      </c>
      <c r="C160" s="184"/>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row>
    <row r="161" spans="1:33" x14ac:dyDescent="0.2">
      <c r="A161" s="187"/>
      <c r="B161" s="11"/>
      <c r="C161" s="184"/>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row>
    <row r="162" spans="1:33" ht="13.5" thickBot="1" x14ac:dyDescent="0.25">
      <c r="A162" s="187"/>
      <c r="B162" s="259" t="s">
        <v>171</v>
      </c>
      <c r="C162" s="184"/>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row>
    <row r="163" spans="1:33" x14ac:dyDescent="0.2">
      <c r="B163" s="191" t="s">
        <v>206</v>
      </c>
      <c r="C163" s="192" t="s">
        <v>36</v>
      </c>
      <c r="D163" s="193" t="s">
        <v>164</v>
      </c>
      <c r="E163" s="193" t="s">
        <v>165</v>
      </c>
      <c r="F163" s="193" t="s">
        <v>166</v>
      </c>
      <c r="G163" s="193" t="s">
        <v>167</v>
      </c>
      <c r="H163" s="193" t="s">
        <v>993</v>
      </c>
      <c r="I163" s="193" t="s">
        <v>994</v>
      </c>
      <c r="J163" s="193" t="s">
        <v>995</v>
      </c>
      <c r="K163" s="193" t="s">
        <v>996</v>
      </c>
      <c r="L163" s="193" t="s">
        <v>997</v>
      </c>
      <c r="M163" s="193" t="s">
        <v>998</v>
      </c>
      <c r="N163" s="193" t="s">
        <v>999</v>
      </c>
      <c r="O163" s="193" t="s">
        <v>1000</v>
      </c>
      <c r="P163" s="193" t="s">
        <v>1001</v>
      </c>
      <c r="Q163" s="193" t="s">
        <v>1002</v>
      </c>
      <c r="R163" s="193" t="s">
        <v>1003</v>
      </c>
      <c r="S163" s="193" t="s">
        <v>1004</v>
      </c>
      <c r="T163" s="193" t="s">
        <v>1005</v>
      </c>
      <c r="U163" s="193" t="s">
        <v>1006</v>
      </c>
      <c r="V163" s="193" t="s">
        <v>1007</v>
      </c>
      <c r="W163" s="193" t="s">
        <v>1008</v>
      </c>
      <c r="X163" s="193" t="s">
        <v>1009</v>
      </c>
      <c r="Y163" s="193" t="s">
        <v>1010</v>
      </c>
      <c r="Z163" s="193" t="s">
        <v>1011</v>
      </c>
      <c r="AA163" s="193" t="s">
        <v>1012</v>
      </c>
      <c r="AB163" s="193" t="s">
        <v>1013</v>
      </c>
      <c r="AC163" s="193" t="s">
        <v>1014</v>
      </c>
      <c r="AD163" s="193" t="s">
        <v>1015</v>
      </c>
      <c r="AE163" s="193" t="s">
        <v>1016</v>
      </c>
      <c r="AF163" s="193" t="s">
        <v>1017</v>
      </c>
      <c r="AG163" s="193" t="s">
        <v>1018</v>
      </c>
    </row>
    <row r="164" spans="1:33" ht="63.75" x14ac:dyDescent="0.2">
      <c r="A164" s="179" t="s">
        <v>53</v>
      </c>
      <c r="B164" s="194" t="s">
        <v>207</v>
      </c>
      <c r="C164" s="195" t="s">
        <v>43</v>
      </c>
      <c r="D164" s="196" t="str">
        <f t="shared" ref="D164:AG164" si="26">D9</f>
        <v>General Appropriation Programs</v>
      </c>
      <c r="E164" s="196" t="str">
        <f t="shared" si="26"/>
        <v>Proviso 118.14(B)(42)(a-c)</v>
      </c>
      <c r="F164" s="196" t="str">
        <f t="shared" si="26"/>
        <v>Indirect Cost Recovery</v>
      </c>
      <c r="G164" s="196" t="str">
        <f t="shared" si="26"/>
        <v>Section 40-1-180 fines and costs</v>
      </c>
      <c r="H164" s="196" t="str">
        <f t="shared" si="26"/>
        <v>Fire Insurance Premium Tax</v>
      </c>
      <c r="I164" s="196" t="str">
        <f t="shared" si="26"/>
        <v>Act 60 - Fire Insurance Premium Tax</v>
      </c>
      <c r="J164" s="196" t="str">
        <f t="shared" si="26"/>
        <v>Immigration Fees</v>
      </c>
      <c r="K164" s="196" t="str">
        <f t="shared" si="26"/>
        <v>Elevators/Amusement Ride Fees</v>
      </c>
      <c r="L164" s="196" t="str">
        <f t="shared" si="26"/>
        <v>State Fire Marshal Fees</v>
      </c>
      <c r="M164" s="196" t="str">
        <f t="shared" si="26"/>
        <v>Fire Academy Fees</v>
      </c>
      <c r="N164" s="196" t="str">
        <f t="shared" si="26"/>
        <v>Building Code, Manuf'd Housing and Boiler Safety Program  Fees</v>
      </c>
      <c r="O164" s="196" t="str">
        <f t="shared" si="26"/>
        <v>Donations-Fire Academy</v>
      </c>
      <c r="P164" s="196" t="str">
        <f t="shared" si="26"/>
        <v>State Fire Marshal Fees</v>
      </c>
      <c r="Q164" s="196" t="str">
        <f t="shared" si="26"/>
        <v>Professional and Occupational Licensee Fees</v>
      </c>
      <c r="R164" s="196" t="str">
        <f t="shared" si="26"/>
        <v>State Fire Marshal - Pyro and LP Gas Fees</v>
      </c>
      <c r="S164" s="196" t="str">
        <f t="shared" si="26"/>
        <v>Federal Grants-Unrestricted R3601PAFL016 (matching funds for 2015 Flood Grant)</v>
      </c>
      <c r="T164" s="196" t="str">
        <f t="shared" si="26"/>
        <v>Sale of Surplus Materials &amp; Supplies</v>
      </c>
      <c r="U164" s="196" t="str">
        <f t="shared" si="26"/>
        <v xml:space="preserve">Refunds from Prior Year Expenditures </v>
      </c>
      <c r="V164" s="196" t="str">
        <f t="shared" si="26"/>
        <v>Insurance Claims</v>
      </c>
      <c r="W164" s="196" t="str">
        <f t="shared" si="26"/>
        <v>Research and Education Funds</v>
      </c>
      <c r="X164" s="196" t="str">
        <f t="shared" si="26"/>
        <v>Real Estate Appraisal Registry</v>
      </c>
      <c r="Y164" s="196" t="str">
        <f t="shared" si="26"/>
        <v>V-Safe Grant Funds</v>
      </c>
      <c r="Z164" s="196" t="str">
        <f t="shared" si="26"/>
        <v>Real Estate Vacation Time Share Recovery Fund</v>
      </c>
      <c r="AA164" s="196" t="str">
        <f t="shared" si="26"/>
        <v>Capital Projects</v>
      </c>
      <c r="AB164" s="196" t="str">
        <f t="shared" si="26"/>
        <v>Auctioneer Recovery Funds</v>
      </c>
      <c r="AC164" s="196" t="str">
        <f t="shared" si="26"/>
        <v>State Fire Training FEMA Grant</v>
      </c>
      <c r="AD164" s="196" t="str">
        <f t="shared" si="26"/>
        <v>OSHA 21D Grant</v>
      </c>
      <c r="AE164" s="196" t="str">
        <f t="shared" si="26"/>
        <v>OSHA 23G Grant</v>
      </c>
      <c r="AF164" s="196" t="str">
        <f t="shared" si="26"/>
        <v>OSHA BLS Grant</v>
      </c>
      <c r="AG164" s="196" t="str">
        <f t="shared" si="26"/>
        <v>Public Assistance Flood 2015 R3601PAFL016</v>
      </c>
    </row>
    <row r="165" spans="1:33" x14ac:dyDescent="0.2">
      <c r="A165" s="179" t="s">
        <v>54</v>
      </c>
      <c r="B165" s="194" t="s">
        <v>31</v>
      </c>
      <c r="C165" s="195" t="s">
        <v>43</v>
      </c>
      <c r="D165" s="196" t="str">
        <f t="shared" ref="D165:AG165" si="27">D10</f>
        <v>Recurring</v>
      </c>
      <c r="E165" s="196" t="str">
        <f t="shared" si="27"/>
        <v>One-Time</v>
      </c>
      <c r="F165" s="196" t="str">
        <f t="shared" si="27"/>
        <v>Recurring</v>
      </c>
      <c r="G165" s="196" t="str">
        <f t="shared" si="27"/>
        <v>Recurring</v>
      </c>
      <c r="H165" s="196" t="str">
        <f t="shared" si="27"/>
        <v>Recurring</v>
      </c>
      <c r="I165" s="196" t="str">
        <f t="shared" si="27"/>
        <v>Recurring</v>
      </c>
      <c r="J165" s="196" t="str">
        <f t="shared" si="27"/>
        <v>Recurring</v>
      </c>
      <c r="K165" s="196" t="str">
        <f t="shared" si="27"/>
        <v>Recurring</v>
      </c>
      <c r="L165" s="196" t="str">
        <f t="shared" si="27"/>
        <v>Recurring</v>
      </c>
      <c r="M165" s="196" t="str">
        <f t="shared" si="27"/>
        <v>Recurring</v>
      </c>
      <c r="N165" s="196" t="str">
        <f t="shared" si="27"/>
        <v>Recurring</v>
      </c>
      <c r="O165" s="196" t="str">
        <f t="shared" si="27"/>
        <v>One-Time</v>
      </c>
      <c r="P165" s="196" t="str">
        <f t="shared" si="27"/>
        <v>Recurring</v>
      </c>
      <c r="Q165" s="196" t="str">
        <f t="shared" si="27"/>
        <v>Recurring</v>
      </c>
      <c r="R165" s="196" t="str">
        <f t="shared" si="27"/>
        <v>Recurring</v>
      </c>
      <c r="S165" s="196" t="str">
        <f t="shared" si="27"/>
        <v>Recurring</v>
      </c>
      <c r="T165" s="196" t="str">
        <f t="shared" si="27"/>
        <v>Recurring</v>
      </c>
      <c r="U165" s="196" t="str">
        <f t="shared" si="27"/>
        <v>Recurring</v>
      </c>
      <c r="V165" s="196" t="str">
        <f t="shared" si="27"/>
        <v>Recurring</v>
      </c>
      <c r="W165" s="196" t="str">
        <f t="shared" si="27"/>
        <v>Recurring</v>
      </c>
      <c r="X165" s="196" t="str">
        <f t="shared" si="27"/>
        <v>Recurring</v>
      </c>
      <c r="Y165" s="196" t="str">
        <f t="shared" si="27"/>
        <v>One-Time</v>
      </c>
      <c r="Z165" s="196" t="str">
        <f t="shared" si="27"/>
        <v>Recurring</v>
      </c>
      <c r="AA165" s="196" t="str">
        <f t="shared" si="27"/>
        <v>Recurring</v>
      </c>
      <c r="AB165" s="196" t="str">
        <f t="shared" si="27"/>
        <v>Recurring</v>
      </c>
      <c r="AC165" s="196" t="str">
        <f t="shared" si="27"/>
        <v>One-Time</v>
      </c>
      <c r="AD165" s="196" t="str">
        <f t="shared" si="27"/>
        <v>One-Time</v>
      </c>
      <c r="AE165" s="196" t="str">
        <f t="shared" si="27"/>
        <v>One-Time</v>
      </c>
      <c r="AF165" s="196" t="str">
        <f t="shared" si="27"/>
        <v>One-Time</v>
      </c>
      <c r="AG165" s="196" t="str">
        <f t="shared" si="27"/>
        <v>One-Time</v>
      </c>
    </row>
    <row r="166" spans="1:33" x14ac:dyDescent="0.2">
      <c r="A166" s="179" t="s">
        <v>55</v>
      </c>
      <c r="B166" s="194" t="s">
        <v>51</v>
      </c>
      <c r="C166" s="195" t="s">
        <v>43</v>
      </c>
      <c r="D166" s="196" t="str">
        <f t="shared" ref="D166:AG166" si="28">D11</f>
        <v>State</v>
      </c>
      <c r="E166" s="196" t="str">
        <f t="shared" si="28"/>
        <v>State</v>
      </c>
      <c r="F166" s="196" t="str">
        <f t="shared" si="28"/>
        <v>Other</v>
      </c>
      <c r="G166" s="196" t="str">
        <f t="shared" si="28"/>
        <v>Other</v>
      </c>
      <c r="H166" s="196" t="str">
        <f t="shared" si="28"/>
        <v>Other</v>
      </c>
      <c r="I166" s="196" t="str">
        <f t="shared" si="28"/>
        <v>Other</v>
      </c>
      <c r="J166" s="196" t="str">
        <f t="shared" si="28"/>
        <v>Other</v>
      </c>
      <c r="K166" s="196" t="str">
        <f t="shared" si="28"/>
        <v>Other</v>
      </c>
      <c r="L166" s="196" t="str">
        <f t="shared" si="28"/>
        <v>Other</v>
      </c>
      <c r="M166" s="196" t="str">
        <f t="shared" si="28"/>
        <v>Other</v>
      </c>
      <c r="N166" s="196" t="str">
        <f t="shared" si="28"/>
        <v>Other</v>
      </c>
      <c r="O166" s="196" t="str">
        <f t="shared" si="28"/>
        <v>Other</v>
      </c>
      <c r="P166" s="196" t="str">
        <f t="shared" si="28"/>
        <v>Other</v>
      </c>
      <c r="Q166" s="196" t="str">
        <f t="shared" si="28"/>
        <v>Other</v>
      </c>
      <c r="R166" s="196" t="str">
        <f t="shared" si="28"/>
        <v>Other</v>
      </c>
      <c r="S166" s="196" t="str">
        <f t="shared" si="28"/>
        <v>Other</v>
      </c>
      <c r="T166" s="196" t="str">
        <f t="shared" si="28"/>
        <v>Other</v>
      </c>
      <c r="U166" s="196" t="str">
        <f t="shared" si="28"/>
        <v>Other</v>
      </c>
      <c r="V166" s="196" t="str">
        <f t="shared" si="28"/>
        <v>Other</v>
      </c>
      <c r="W166" s="196" t="str">
        <f t="shared" si="28"/>
        <v>Other</v>
      </c>
      <c r="X166" s="196" t="str">
        <f t="shared" si="28"/>
        <v>Other</v>
      </c>
      <c r="Y166" s="196" t="str">
        <f t="shared" si="28"/>
        <v>Other</v>
      </c>
      <c r="Z166" s="196" t="str">
        <f t="shared" si="28"/>
        <v>Other</v>
      </c>
      <c r="AA166" s="196" t="str">
        <f t="shared" si="28"/>
        <v>Other</v>
      </c>
      <c r="AB166" s="196" t="str">
        <f t="shared" si="28"/>
        <v>Other</v>
      </c>
      <c r="AC166" s="196" t="str">
        <f t="shared" si="28"/>
        <v>Federal</v>
      </c>
      <c r="AD166" s="196" t="str">
        <f t="shared" si="28"/>
        <v>Federal</v>
      </c>
      <c r="AE166" s="196" t="str">
        <f t="shared" si="28"/>
        <v>Federal</v>
      </c>
      <c r="AF166" s="196" t="str">
        <f t="shared" si="28"/>
        <v>Federal</v>
      </c>
      <c r="AG166" s="196" t="str">
        <f t="shared" si="28"/>
        <v>Federal</v>
      </c>
    </row>
    <row r="167" spans="1:33" ht="76.5" x14ac:dyDescent="0.2">
      <c r="A167" s="197" t="s">
        <v>211</v>
      </c>
      <c r="B167" s="194" t="s">
        <v>180</v>
      </c>
      <c r="C167" s="195" t="s">
        <v>43</v>
      </c>
      <c r="D167" s="196" t="str">
        <f t="shared" ref="D167:AG167" si="29">D12</f>
        <v>Division of OSHA</v>
      </c>
      <c r="E167" s="196" t="str">
        <f t="shared" si="29"/>
        <v>Division of Fire &amp; Life Safety - Office of State Fire Marshal</v>
      </c>
      <c r="F167" s="196" t="str">
        <f t="shared" si="29"/>
        <v>Division of OSHA</v>
      </c>
      <c r="G167" s="196" t="str">
        <f t="shared" si="29"/>
        <v>Division of Professional and Occupational Licensing</v>
      </c>
      <c r="H167" s="196" t="str">
        <f t="shared" si="29"/>
        <v>Division of Fire and Life Safety; Division of Professional and Occupational Licensing (Building Codes)</v>
      </c>
      <c r="I167" s="196" t="str">
        <f t="shared" si="29"/>
        <v xml:space="preserve">Division of Fire and Life Safety - Fire Academy   </v>
      </c>
      <c r="J167" s="196" t="str">
        <f t="shared" si="29"/>
        <v>Office of Immigration Compliance</v>
      </c>
      <c r="K167" s="196" t="str">
        <f t="shared" si="29"/>
        <v>Office of Elevators and Amusement Rides</v>
      </c>
      <c r="L167" s="196" t="str">
        <f t="shared" si="29"/>
        <v>Division of Fire and Life Safety - Office of State Fire Marshal</v>
      </c>
      <c r="M167" s="196" t="str">
        <f t="shared" si="29"/>
        <v xml:space="preserve">Division of Fire and Life Safety - Fire Academy </v>
      </c>
      <c r="N167" s="196" t="str">
        <f t="shared" si="29"/>
        <v>Division of Professional and Occupational Licensing</v>
      </c>
      <c r="O167" s="196" t="str">
        <f t="shared" si="29"/>
        <v xml:space="preserve">Division of Fire and Life Safety - Fire Academy </v>
      </c>
      <c r="P167" s="196" t="str">
        <f t="shared" si="29"/>
        <v>Division of Fire and Life Safety - Office of State Fire Marshal</v>
      </c>
      <c r="Q167" s="196" t="str">
        <f t="shared" si="29"/>
        <v>Division of Professional and Occupational Licensing</v>
      </c>
      <c r="R167" s="196" t="str">
        <f t="shared" si="29"/>
        <v>Division of Fire and Life Safety - Office of State Fire Marshal</v>
      </c>
      <c r="S167" s="196" t="str">
        <f t="shared" si="29"/>
        <v>Division of Fire and Life Safety</v>
      </c>
      <c r="T167" s="196" t="str">
        <f t="shared" si="29"/>
        <v>Division of Administration</v>
      </c>
      <c r="U167" s="196" t="str">
        <f t="shared" si="29"/>
        <v>Division of Professional and Occupational Licensing; Legal Services</v>
      </c>
      <c r="V167" s="196" t="str">
        <f t="shared" si="29"/>
        <v>Division of Fire and Life Safety</v>
      </c>
      <c r="W167" s="196" t="str">
        <f t="shared" si="29"/>
        <v>Division of Professional and Occupational Licensing</v>
      </c>
      <c r="X167" s="196" t="str">
        <f t="shared" si="29"/>
        <v>Division of Professional and Occupational Licensing</v>
      </c>
      <c r="Y167" s="196" t="str">
        <f t="shared" si="29"/>
        <v>Division of Fire and Life Safety - Office of State Fire Marshal</v>
      </c>
      <c r="Z167" s="196" t="str">
        <f t="shared" si="29"/>
        <v>Division of Professional and Occupational Licensing</v>
      </c>
      <c r="AA167" s="196" t="str">
        <f t="shared" si="29"/>
        <v>Division of Fire and Life Safety - Fire Academy</v>
      </c>
      <c r="AB167" s="196" t="str">
        <f t="shared" si="29"/>
        <v>Division of Professional and Occupational Licensing</v>
      </c>
      <c r="AC167" s="196" t="str">
        <f t="shared" si="29"/>
        <v>Fire Academy</v>
      </c>
      <c r="AD167" s="196" t="str">
        <f t="shared" si="29"/>
        <v>Division of OSHA</v>
      </c>
      <c r="AE167" s="196" t="str">
        <f t="shared" si="29"/>
        <v>Division of OSHA</v>
      </c>
      <c r="AF167" s="196" t="str">
        <f t="shared" si="29"/>
        <v>Division of OSHA</v>
      </c>
      <c r="AG167" s="196" t="str">
        <f t="shared" si="29"/>
        <v>Agency</v>
      </c>
    </row>
    <row r="168" spans="1:33" ht="38.25" x14ac:dyDescent="0.2">
      <c r="A168" s="197" t="s">
        <v>212</v>
      </c>
      <c r="B168" s="194" t="s">
        <v>181</v>
      </c>
      <c r="C168" s="195" t="s">
        <v>43</v>
      </c>
      <c r="D168" s="196" t="str">
        <f t="shared" ref="D168:AG168" si="30">D13</f>
        <v>Received from state or set federal match</v>
      </c>
      <c r="E168" s="196" t="str">
        <f t="shared" si="30"/>
        <v>Received from state or set federal match</v>
      </c>
      <c r="F168" s="196" t="str">
        <f t="shared" si="30"/>
        <v>Generated by agency</v>
      </c>
      <c r="G168" s="196" t="str">
        <f t="shared" si="30"/>
        <v>Generated by agency</v>
      </c>
      <c r="H168" s="196" t="str">
        <f t="shared" si="30"/>
        <v>Generated by agency</v>
      </c>
      <c r="I168" s="196" t="str">
        <f t="shared" si="30"/>
        <v>Generated by agency</v>
      </c>
      <c r="J168" s="196" t="str">
        <f t="shared" si="30"/>
        <v>Generated by agency</v>
      </c>
      <c r="K168" s="196" t="str">
        <f t="shared" si="30"/>
        <v>Generated by agency</v>
      </c>
      <c r="L168" s="196" t="str">
        <f t="shared" si="30"/>
        <v>Generated by agency</v>
      </c>
      <c r="M168" s="196" t="str">
        <f t="shared" si="30"/>
        <v>Generated by agency</v>
      </c>
      <c r="N168" s="196" t="str">
        <f t="shared" si="30"/>
        <v>Generated by agency</v>
      </c>
      <c r="O168" s="196" t="str">
        <f t="shared" si="30"/>
        <v>Generated by agency</v>
      </c>
      <c r="P168" s="196" t="str">
        <f t="shared" si="30"/>
        <v>Generated by agency</v>
      </c>
      <c r="Q168" s="196" t="str">
        <f t="shared" si="30"/>
        <v>Generated by agency</v>
      </c>
      <c r="R168" s="196" t="str">
        <f t="shared" si="30"/>
        <v>Generated by agency</v>
      </c>
      <c r="S168" s="196" t="str">
        <f t="shared" si="30"/>
        <v>Generated by agency</v>
      </c>
      <c r="T168" s="196" t="str">
        <f t="shared" si="30"/>
        <v>Generated by agency</v>
      </c>
      <c r="U168" s="196" t="str">
        <f t="shared" si="30"/>
        <v>Generated by agency</v>
      </c>
      <c r="V168" s="196" t="str">
        <f t="shared" si="30"/>
        <v>Generated by agency</v>
      </c>
      <c r="W168" s="196" t="str">
        <f t="shared" si="30"/>
        <v>Generated by agency</v>
      </c>
      <c r="X168" s="196" t="str">
        <f t="shared" si="30"/>
        <v>Generated by agency</v>
      </c>
      <c r="Y168" s="196" t="str">
        <f t="shared" si="30"/>
        <v>Received from state or set federal match</v>
      </c>
      <c r="Z168" s="196" t="str">
        <f t="shared" si="30"/>
        <v>Generated by agency</v>
      </c>
      <c r="AA168" s="196" t="str">
        <f t="shared" si="30"/>
        <v>Generated by agency</v>
      </c>
      <c r="AB168" s="196" t="str">
        <f t="shared" si="30"/>
        <v>Generated by agency</v>
      </c>
      <c r="AC168" s="196" t="str">
        <f t="shared" si="30"/>
        <v>Received from state or set federal match</v>
      </c>
      <c r="AD168" s="196" t="str">
        <f t="shared" si="30"/>
        <v>Received from state or set federal match</v>
      </c>
      <c r="AE168" s="196" t="str">
        <f t="shared" si="30"/>
        <v>Received from state or set federal match</v>
      </c>
      <c r="AF168" s="196" t="str">
        <f t="shared" si="30"/>
        <v>Received from state or set federal match</v>
      </c>
      <c r="AG168" s="196" t="str">
        <f t="shared" si="30"/>
        <v>Received from state or set federal match</v>
      </c>
    </row>
    <row r="169" spans="1:33" ht="25.5" x14ac:dyDescent="0.2">
      <c r="A169" s="197" t="s">
        <v>56</v>
      </c>
      <c r="B169" s="194" t="s">
        <v>182</v>
      </c>
      <c r="C169" s="195" t="s">
        <v>43</v>
      </c>
      <c r="D169" s="196" t="str">
        <f t="shared" ref="D169:AG169" si="31">D14</f>
        <v>Remain with agency</v>
      </c>
      <c r="E169" s="196" t="str">
        <f t="shared" si="31"/>
        <v>Remain with agency</v>
      </c>
      <c r="F169" s="196" t="str">
        <f t="shared" si="31"/>
        <v>Go to the General Fund</v>
      </c>
      <c r="G169" s="196" t="str">
        <f t="shared" si="31"/>
        <v>Remain with agency</v>
      </c>
      <c r="H169" s="196" t="str">
        <f t="shared" si="31"/>
        <v>Remain with agency</v>
      </c>
      <c r="I169" s="196" t="str">
        <f t="shared" si="31"/>
        <v>Remain with agency</v>
      </c>
      <c r="J169" s="196" t="str">
        <f t="shared" si="31"/>
        <v>Remain with agency</v>
      </c>
      <c r="K169" s="196" t="str">
        <f t="shared" si="31"/>
        <v>Remain with agency</v>
      </c>
      <c r="L169" s="196" t="str">
        <f t="shared" si="31"/>
        <v>Remain with agency</v>
      </c>
      <c r="M169" s="196" t="str">
        <f t="shared" si="31"/>
        <v>Remain with agency</v>
      </c>
      <c r="N169" s="196" t="str">
        <f t="shared" si="31"/>
        <v>Remain with agency</v>
      </c>
      <c r="O169" s="196" t="str">
        <f t="shared" si="31"/>
        <v>Remain with agency</v>
      </c>
      <c r="P169" s="196" t="str">
        <f t="shared" si="31"/>
        <v>Remain with agency</v>
      </c>
      <c r="Q169" s="196" t="str">
        <f t="shared" si="31"/>
        <v>Remain with agency</v>
      </c>
      <c r="R169" s="196" t="str">
        <f t="shared" si="31"/>
        <v>Remain with agency</v>
      </c>
      <c r="S169" s="196" t="str">
        <f t="shared" si="31"/>
        <v>Remain with agency</v>
      </c>
      <c r="T169" s="196" t="str">
        <f t="shared" si="31"/>
        <v>Remain with agency</v>
      </c>
      <c r="U169" s="196" t="str">
        <f t="shared" si="31"/>
        <v>Remain with agency</v>
      </c>
      <c r="V169" s="196" t="str">
        <f t="shared" si="31"/>
        <v>Remain with agency</v>
      </c>
      <c r="W169" s="196" t="str">
        <f t="shared" si="31"/>
        <v>Remain with agency</v>
      </c>
      <c r="X169" s="196" t="str">
        <f t="shared" si="31"/>
        <v>Remain with agency</v>
      </c>
      <c r="Y169" s="196" t="str">
        <f t="shared" si="31"/>
        <v>Remain with agency</v>
      </c>
      <c r="Z169" s="196" t="str">
        <f t="shared" si="31"/>
        <v>Remain with agency</v>
      </c>
      <c r="AA169" s="196" t="str">
        <f t="shared" si="31"/>
        <v>Remain with agency</v>
      </c>
      <c r="AB169" s="196" t="str">
        <f t="shared" si="31"/>
        <v>Remain with agency</v>
      </c>
      <c r="AC169" s="196" t="str">
        <f t="shared" si="31"/>
        <v>Remain with agency</v>
      </c>
      <c r="AD169" s="196" t="str">
        <f t="shared" si="31"/>
        <v>Remain with agency</v>
      </c>
      <c r="AE169" s="196" t="str">
        <f t="shared" si="31"/>
        <v>Remain with agency</v>
      </c>
      <c r="AF169" s="196" t="str">
        <f t="shared" si="31"/>
        <v>Remain with agency</v>
      </c>
      <c r="AG169" s="196" t="str">
        <f t="shared" si="31"/>
        <v>Remain with agency</v>
      </c>
    </row>
    <row r="170" spans="1:33" x14ac:dyDescent="0.2">
      <c r="A170" s="179"/>
      <c r="B170" s="194"/>
      <c r="C170" s="195"/>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E170" s="196"/>
      <c r="AF170" s="196"/>
      <c r="AG170" s="196"/>
    </row>
    <row r="171" spans="1:33" x14ac:dyDescent="0.2">
      <c r="A171" s="179"/>
      <c r="B171" s="199" t="s">
        <v>205</v>
      </c>
      <c r="C171" s="200" t="s">
        <v>36</v>
      </c>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c r="AA171" s="196"/>
      <c r="AB171" s="196"/>
      <c r="AC171" s="196"/>
      <c r="AD171" s="196"/>
      <c r="AE171" s="196"/>
      <c r="AF171" s="196"/>
      <c r="AG171" s="196"/>
    </row>
    <row r="172" spans="1:33" x14ac:dyDescent="0.2">
      <c r="A172" s="197" t="s">
        <v>57</v>
      </c>
      <c r="B172" s="201" t="s">
        <v>191</v>
      </c>
      <c r="C172" s="260">
        <f>SUM(D172:DA172)</f>
        <v>44828822.480000012</v>
      </c>
      <c r="D172" s="261">
        <v>1401201.84</v>
      </c>
      <c r="E172" s="262">
        <v>25000</v>
      </c>
      <c r="F172" s="263">
        <v>489772.31</v>
      </c>
      <c r="G172" s="263">
        <v>447573.63</v>
      </c>
      <c r="H172" s="263">
        <f>2313240.68+4112427.84+175168</f>
        <v>6600836.5199999996</v>
      </c>
      <c r="I172" s="263">
        <v>4497967</v>
      </c>
      <c r="J172" s="263">
        <v>1700</v>
      </c>
      <c r="K172" s="263">
        <v>642020</v>
      </c>
      <c r="L172" s="263">
        <f>950364.16+53750</f>
        <v>1004114.16</v>
      </c>
      <c r="M172" s="263">
        <f>1194251.82+144232.83+59031.65+54160.32</f>
        <v>1451676.62</v>
      </c>
      <c r="N172" s="263">
        <f>258630+201461.5+72910</f>
        <v>533001.5</v>
      </c>
      <c r="O172" s="263">
        <v>0</v>
      </c>
      <c r="P172" s="263">
        <v>197691</v>
      </c>
      <c r="Q172" s="263">
        <f>7535+9025+187830+212765.23+2293715+454618+495382+1778+25220+18141461.3+413650+1443474.73+9887+6365+32000+123.66+14268+313128.1</f>
        <v>24062226.020000003</v>
      </c>
      <c r="R172" s="263">
        <f>125580+169175</f>
        <v>294755</v>
      </c>
      <c r="S172" s="263">
        <v>14822.89</v>
      </c>
      <c r="T172" s="263">
        <v>17933.89</v>
      </c>
      <c r="U172" s="263">
        <v>50</v>
      </c>
      <c r="V172" s="263">
        <v>0</v>
      </c>
      <c r="W172" s="263">
        <v>123525</v>
      </c>
      <c r="X172" s="263">
        <v>28195</v>
      </c>
      <c r="Y172" s="263">
        <v>0</v>
      </c>
      <c r="Z172" s="263">
        <v>0</v>
      </c>
      <c r="AA172" s="263">
        <v>0</v>
      </c>
      <c r="AB172" s="263">
        <v>5392.28</v>
      </c>
      <c r="AC172" s="263">
        <v>7969</v>
      </c>
      <c r="AD172" s="263">
        <v>750008.99</v>
      </c>
      <c r="AE172" s="263">
        <v>2148818.5699999998</v>
      </c>
      <c r="AF172" s="262">
        <v>82571.259999999995</v>
      </c>
      <c r="AG172" s="262">
        <v>0</v>
      </c>
    </row>
    <row r="173" spans="1:33" x14ac:dyDescent="0.2">
      <c r="A173" s="179"/>
      <c r="B173" s="194"/>
      <c r="C173" s="205"/>
      <c r="D173" s="206"/>
      <c r="E173" s="206"/>
      <c r="F173" s="206"/>
      <c r="G173" s="206"/>
      <c r="H173" s="206"/>
      <c r="I173" s="206"/>
      <c r="J173" s="206"/>
      <c r="K173" s="206"/>
      <c r="L173" s="206"/>
      <c r="M173" s="206"/>
      <c r="N173" s="206"/>
      <c r="O173" s="206"/>
      <c r="P173" s="206"/>
      <c r="Q173" s="206"/>
      <c r="R173" s="206"/>
      <c r="S173" s="206"/>
      <c r="T173" s="206"/>
      <c r="U173" s="206"/>
      <c r="V173" s="206" t="s">
        <v>584</v>
      </c>
      <c r="W173" s="206"/>
      <c r="X173" s="206"/>
      <c r="Y173" s="206"/>
      <c r="Z173" s="206"/>
      <c r="AA173" s="206"/>
      <c r="AB173" s="206"/>
      <c r="AC173" s="206"/>
      <c r="AD173" s="206"/>
      <c r="AE173" s="206"/>
      <c r="AF173" s="206"/>
      <c r="AG173" s="206"/>
    </row>
    <row r="174" spans="1:33" x14ac:dyDescent="0.2">
      <c r="A174" s="179"/>
      <c r="B174" s="199" t="s">
        <v>208</v>
      </c>
      <c r="C174" s="200" t="s">
        <v>36</v>
      </c>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c r="AC174" s="206"/>
      <c r="AD174" s="206"/>
      <c r="AE174" s="206"/>
      <c r="AF174" s="206"/>
      <c r="AG174" s="206"/>
    </row>
    <row r="175" spans="1:33" ht="29.25" customHeight="1" x14ac:dyDescent="0.2">
      <c r="A175" s="179" t="s">
        <v>58</v>
      </c>
      <c r="B175" s="194" t="s">
        <v>140</v>
      </c>
      <c r="C175" s="195" t="s">
        <v>43</v>
      </c>
      <c r="D175" s="196">
        <f t="shared" ref="D175:AG175" si="32">D20</f>
        <v>10010000</v>
      </c>
      <c r="E175" s="196">
        <f t="shared" si="32"/>
        <v>10010000</v>
      </c>
      <c r="F175" s="196">
        <f t="shared" si="32"/>
        <v>28230000</v>
      </c>
      <c r="G175" s="196">
        <f t="shared" si="32"/>
        <v>28370000</v>
      </c>
      <c r="H175" s="196">
        <f t="shared" si="32"/>
        <v>30350000</v>
      </c>
      <c r="I175" s="196">
        <f t="shared" si="32"/>
        <v>30350000</v>
      </c>
      <c r="J175" s="196">
        <f t="shared" si="32"/>
        <v>30350000</v>
      </c>
      <c r="K175" s="196">
        <f t="shared" si="32"/>
        <v>30350000</v>
      </c>
      <c r="L175" s="196">
        <f t="shared" si="32"/>
        <v>30350000</v>
      </c>
      <c r="M175" s="196">
        <f t="shared" si="32"/>
        <v>30350000</v>
      </c>
      <c r="N175" s="196">
        <f t="shared" si="32"/>
        <v>30350000</v>
      </c>
      <c r="O175" s="196">
        <f t="shared" si="32"/>
        <v>30980000</v>
      </c>
      <c r="P175" s="196">
        <f t="shared" si="32"/>
        <v>31350000</v>
      </c>
      <c r="Q175" s="196">
        <f t="shared" si="32"/>
        <v>31350000</v>
      </c>
      <c r="R175" s="196">
        <f t="shared" si="32"/>
        <v>31350000</v>
      </c>
      <c r="S175" s="196">
        <f t="shared" si="32"/>
        <v>31350000</v>
      </c>
      <c r="T175" s="196">
        <f t="shared" si="32"/>
        <v>31350000</v>
      </c>
      <c r="U175" s="196">
        <f t="shared" si="32"/>
        <v>31350000</v>
      </c>
      <c r="V175" s="196">
        <f t="shared" si="32"/>
        <v>31350000</v>
      </c>
      <c r="W175" s="196">
        <f t="shared" si="32"/>
        <v>31730000</v>
      </c>
      <c r="X175" s="196">
        <f t="shared" si="32"/>
        <v>32827000</v>
      </c>
      <c r="Y175" s="196">
        <f t="shared" si="32"/>
        <v>36340000</v>
      </c>
      <c r="Z175" s="196">
        <f t="shared" si="32"/>
        <v>37300000</v>
      </c>
      <c r="AA175" s="196">
        <f t="shared" si="32"/>
        <v>39078000</v>
      </c>
      <c r="AB175" s="196">
        <f t="shared" si="32"/>
        <v>45920000</v>
      </c>
      <c r="AC175" s="196">
        <f t="shared" si="32"/>
        <v>50550000</v>
      </c>
      <c r="AD175" s="196">
        <f t="shared" si="32"/>
        <v>51080000</v>
      </c>
      <c r="AE175" s="196">
        <f t="shared" si="32"/>
        <v>51090000</v>
      </c>
      <c r="AF175" s="196">
        <f t="shared" si="32"/>
        <v>51100000</v>
      </c>
      <c r="AG175" s="196">
        <f t="shared" si="32"/>
        <v>55110001</v>
      </c>
    </row>
    <row r="176" spans="1:33" ht="25.5" x14ac:dyDescent="0.2">
      <c r="A176" s="179" t="s">
        <v>59</v>
      </c>
      <c r="B176" s="194" t="s">
        <v>141</v>
      </c>
      <c r="C176" s="195" t="s">
        <v>43</v>
      </c>
      <c r="D176" s="196" t="str">
        <f t="shared" ref="D176:AG176" si="33">D21</f>
        <v>General Fund</v>
      </c>
      <c r="E176" s="196" t="str">
        <f t="shared" si="33"/>
        <v>General Fund</v>
      </c>
      <c r="F176" s="196" t="str">
        <f t="shared" si="33"/>
        <v>Indirect Cost Rec</v>
      </c>
      <c r="G176" s="196" t="str">
        <f t="shared" si="33"/>
        <v>General Revenue</v>
      </c>
      <c r="H176" s="196" t="str">
        <f t="shared" si="33"/>
        <v>Operating Revenue</v>
      </c>
      <c r="I176" s="196" t="str">
        <f t="shared" si="33"/>
        <v>Operating Revenue</v>
      </c>
      <c r="J176" s="196" t="str">
        <f t="shared" si="33"/>
        <v>Operating Revenue</v>
      </c>
      <c r="K176" s="196" t="str">
        <f t="shared" si="33"/>
        <v>Operating Revenue</v>
      </c>
      <c r="L176" s="196" t="str">
        <f t="shared" si="33"/>
        <v>Operating Revenue</v>
      </c>
      <c r="M176" s="196" t="str">
        <f t="shared" si="33"/>
        <v>Operating Revenue</v>
      </c>
      <c r="N176" s="196" t="str">
        <f t="shared" si="33"/>
        <v>Operating Revenue</v>
      </c>
      <c r="O176" s="196" t="str">
        <f t="shared" si="33"/>
        <v>Donations</v>
      </c>
      <c r="P176" s="196" t="str">
        <f t="shared" si="33"/>
        <v>POLA Revenue</v>
      </c>
      <c r="Q176" s="196" t="str">
        <f t="shared" si="33"/>
        <v>POLA Revenue</v>
      </c>
      <c r="R176" s="196" t="str">
        <f t="shared" si="33"/>
        <v>POLA Revenue</v>
      </c>
      <c r="S176" s="196" t="str">
        <f t="shared" si="33"/>
        <v>POLA Revenue</v>
      </c>
      <c r="T176" s="196" t="str">
        <f t="shared" si="33"/>
        <v>POLA Revenue</v>
      </c>
      <c r="U176" s="196" t="str">
        <f t="shared" si="33"/>
        <v>POLA Revenue</v>
      </c>
      <c r="V176" s="196" t="str">
        <f t="shared" si="33"/>
        <v>POLA Revenue</v>
      </c>
      <c r="W176" s="196" t="str">
        <f t="shared" si="33"/>
        <v>Educ &amp; Research Fd</v>
      </c>
      <c r="X176" s="196" t="str">
        <f t="shared" si="33"/>
        <v>Real Estate App Reg</v>
      </c>
      <c r="Y176" s="196" t="str">
        <f t="shared" si="33"/>
        <v>Cap Res Fd per</v>
      </c>
      <c r="Z176" s="196" t="str">
        <f t="shared" si="33"/>
        <v>Vac Time Shar Rec</v>
      </c>
      <c r="AA176" s="196" t="str">
        <f t="shared" si="33"/>
        <v>Cap Proj-Other Fd</v>
      </c>
      <c r="AB176" s="196" t="str">
        <f t="shared" si="33"/>
        <v>Auctioneer Recovery</v>
      </c>
      <c r="AC176" s="196" t="str">
        <f t="shared" si="33"/>
        <v>Federal</v>
      </c>
      <c r="AD176" s="196" t="str">
        <f t="shared" si="33"/>
        <v>Consult Priv Sec</v>
      </c>
      <c r="AE176" s="196" t="str">
        <f t="shared" si="33"/>
        <v>OSHA-Federal</v>
      </c>
      <c r="AF176" s="196" t="str">
        <f t="shared" si="33"/>
        <v>BLS Statistics</v>
      </c>
      <c r="AG176" s="196" t="str">
        <f t="shared" si="33"/>
        <v>2015 Severe Flood</v>
      </c>
    </row>
    <row r="177" spans="1:33" x14ac:dyDescent="0.2">
      <c r="A177" s="179"/>
      <c r="B177" s="194"/>
      <c r="C177" s="195"/>
      <c r="D177" s="196"/>
      <c r="E177" s="196"/>
      <c r="F177" s="196"/>
      <c r="G177" s="196"/>
      <c r="H177" s="196"/>
      <c r="I177" s="196"/>
      <c r="J177" s="196"/>
      <c r="K177" s="196"/>
      <c r="L177" s="196"/>
      <c r="M177" s="196"/>
      <c r="N177" s="196"/>
      <c r="O177" s="196"/>
      <c r="P177" s="196"/>
      <c r="Q177" s="196"/>
      <c r="R177" s="196"/>
      <c r="S177" s="196"/>
      <c r="T177" s="196"/>
      <c r="U177" s="196"/>
      <c r="V177" s="196"/>
      <c r="W177" s="196"/>
      <c r="X177" s="196"/>
      <c r="Y177" s="196"/>
      <c r="Z177" s="196"/>
      <c r="AA177" s="196"/>
      <c r="AB177" s="196"/>
      <c r="AC177" s="196"/>
      <c r="AD177" s="196"/>
      <c r="AE177" s="196"/>
      <c r="AF177" s="196"/>
      <c r="AG177" s="196"/>
    </row>
    <row r="178" spans="1:33" ht="25.5" x14ac:dyDescent="0.2">
      <c r="A178" s="179"/>
      <c r="B178" s="199" t="s">
        <v>183</v>
      </c>
      <c r="C178" s="200" t="s">
        <v>36</v>
      </c>
      <c r="D178" s="196"/>
      <c r="E178" s="196"/>
      <c r="F178" s="196"/>
      <c r="G178" s="196"/>
      <c r="H178" s="196"/>
      <c r="I178" s="196"/>
      <c r="J178" s="196"/>
      <c r="K178" s="196"/>
      <c r="L178" s="196"/>
      <c r="M178" s="196"/>
      <c r="N178" s="196"/>
      <c r="O178" s="196"/>
      <c r="P178" s="196"/>
      <c r="Q178" s="196"/>
      <c r="R178" s="196"/>
      <c r="S178" s="196"/>
      <c r="T178" s="196"/>
      <c r="U178" s="196"/>
      <c r="V178" s="196"/>
      <c r="W178" s="196"/>
      <c r="X178" s="196"/>
      <c r="Y178" s="196"/>
      <c r="Z178" s="196"/>
      <c r="AA178" s="196"/>
      <c r="AB178" s="196"/>
      <c r="AC178" s="196"/>
      <c r="AD178" s="196"/>
      <c r="AE178" s="196"/>
      <c r="AF178" s="196"/>
      <c r="AG178" s="196"/>
    </row>
    <row r="179" spans="1:33" x14ac:dyDescent="0.2">
      <c r="A179" s="179" t="s">
        <v>213</v>
      </c>
      <c r="B179" s="194" t="s">
        <v>192</v>
      </c>
      <c r="C179" s="202">
        <f>SUM(D179:DA179)</f>
        <v>38899925.00999999</v>
      </c>
      <c r="D179" s="203">
        <v>0</v>
      </c>
      <c r="E179" s="204">
        <v>0</v>
      </c>
      <c r="F179" s="198">
        <v>0</v>
      </c>
      <c r="G179" s="198">
        <v>0</v>
      </c>
      <c r="H179" s="198">
        <v>14776702.65</v>
      </c>
      <c r="I179" s="198">
        <v>0</v>
      </c>
      <c r="J179" s="198">
        <v>0</v>
      </c>
      <c r="K179" s="198">
        <v>0</v>
      </c>
      <c r="L179" s="198">
        <v>0</v>
      </c>
      <c r="M179" s="198">
        <v>0</v>
      </c>
      <c r="N179" s="198">
        <v>0</v>
      </c>
      <c r="O179" s="198">
        <v>131.91999999999999</v>
      </c>
      <c r="P179" s="198">
        <v>22956661.68</v>
      </c>
      <c r="Q179" s="198">
        <v>0</v>
      </c>
      <c r="R179" s="198">
        <v>0</v>
      </c>
      <c r="S179" s="198">
        <v>0</v>
      </c>
      <c r="T179" s="198">
        <v>0</v>
      </c>
      <c r="U179" s="198">
        <v>0</v>
      </c>
      <c r="V179" s="198">
        <v>0</v>
      </c>
      <c r="W179" s="198">
        <v>743949.21</v>
      </c>
      <c r="X179" s="198">
        <v>88305</v>
      </c>
      <c r="Y179" s="198">
        <v>0</v>
      </c>
      <c r="Z179" s="198">
        <v>253980</v>
      </c>
      <c r="AA179" s="198">
        <v>8775.6200000000008</v>
      </c>
      <c r="AB179" s="198">
        <v>115188.3</v>
      </c>
      <c r="AC179" s="198">
        <v>0</v>
      </c>
      <c r="AD179" s="198">
        <v>-2638.63</v>
      </c>
      <c r="AE179" s="198">
        <v>-41091.32</v>
      </c>
      <c r="AF179" s="204">
        <v>-39.42</v>
      </c>
      <c r="AG179" s="204">
        <v>0</v>
      </c>
    </row>
    <row r="180" spans="1:33" x14ac:dyDescent="0.2">
      <c r="A180" s="179" t="s">
        <v>214</v>
      </c>
      <c r="B180" s="209" t="s">
        <v>193</v>
      </c>
      <c r="C180" s="210">
        <f>SUM(D180:DA180)</f>
        <v>2446169.0999999996</v>
      </c>
      <c r="D180" s="211">
        <v>0</v>
      </c>
      <c r="E180" s="212">
        <v>0</v>
      </c>
      <c r="F180" s="213">
        <v>0</v>
      </c>
      <c r="G180" s="213">
        <v>0</v>
      </c>
      <c r="H180" s="213">
        <v>414816.31</v>
      </c>
      <c r="I180" s="213">
        <v>0</v>
      </c>
      <c r="J180" s="213">
        <v>0</v>
      </c>
      <c r="K180" s="213">
        <v>0</v>
      </c>
      <c r="L180" s="213">
        <v>0</v>
      </c>
      <c r="M180" s="213">
        <v>0</v>
      </c>
      <c r="N180" s="213">
        <v>0</v>
      </c>
      <c r="O180" s="213">
        <v>0</v>
      </c>
      <c r="P180" s="213">
        <v>1388480.91</v>
      </c>
      <c r="Q180" s="213">
        <v>0</v>
      </c>
      <c r="R180" s="213">
        <v>0</v>
      </c>
      <c r="S180" s="213">
        <v>0</v>
      </c>
      <c r="T180" s="213">
        <v>0</v>
      </c>
      <c r="U180" s="213">
        <v>0</v>
      </c>
      <c r="V180" s="213">
        <v>0</v>
      </c>
      <c r="W180" s="213">
        <v>-2747</v>
      </c>
      <c r="X180" s="213">
        <v>-20725</v>
      </c>
      <c r="Y180" s="213">
        <v>500000</v>
      </c>
      <c r="Z180" s="213">
        <v>0</v>
      </c>
      <c r="AA180" s="213">
        <v>429134.13</v>
      </c>
      <c r="AB180" s="213">
        <v>5392.28</v>
      </c>
      <c r="AC180" s="213">
        <v>0</v>
      </c>
      <c r="AD180" s="213">
        <v>-45031.26</v>
      </c>
      <c r="AE180" s="213">
        <v>-223149.94</v>
      </c>
      <c r="AF180" s="212">
        <v>-1.33</v>
      </c>
      <c r="AG180" s="212">
        <v>0</v>
      </c>
    </row>
    <row r="181" spans="1:33" ht="13.5" thickBot="1" x14ac:dyDescent="0.25">
      <c r="A181" s="179" t="s">
        <v>60</v>
      </c>
      <c r="B181" s="214" t="s">
        <v>216</v>
      </c>
      <c r="C181" s="264">
        <f>SUM(D181:DA181)</f>
        <v>41346094.109999999</v>
      </c>
      <c r="D181" s="265">
        <f>SUM(D179:D180)</f>
        <v>0</v>
      </c>
      <c r="E181" s="265">
        <f t="shared" ref="E181:AG181" si="34">SUM(E179:E180)</f>
        <v>0</v>
      </c>
      <c r="F181" s="265">
        <f t="shared" si="34"/>
        <v>0</v>
      </c>
      <c r="G181" s="265">
        <f t="shared" si="34"/>
        <v>0</v>
      </c>
      <c r="H181" s="265">
        <f t="shared" si="34"/>
        <v>15191518.960000001</v>
      </c>
      <c r="I181" s="265">
        <f t="shared" si="34"/>
        <v>0</v>
      </c>
      <c r="J181" s="265">
        <f t="shared" si="34"/>
        <v>0</v>
      </c>
      <c r="K181" s="265">
        <f t="shared" si="34"/>
        <v>0</v>
      </c>
      <c r="L181" s="265">
        <f t="shared" si="34"/>
        <v>0</v>
      </c>
      <c r="M181" s="265">
        <f t="shared" si="34"/>
        <v>0</v>
      </c>
      <c r="N181" s="265">
        <f t="shared" si="34"/>
        <v>0</v>
      </c>
      <c r="O181" s="265">
        <f t="shared" si="34"/>
        <v>131.91999999999999</v>
      </c>
      <c r="P181" s="265">
        <f t="shared" si="34"/>
        <v>24345142.59</v>
      </c>
      <c r="Q181" s="265">
        <f t="shared" si="34"/>
        <v>0</v>
      </c>
      <c r="R181" s="265">
        <f t="shared" si="34"/>
        <v>0</v>
      </c>
      <c r="S181" s="265">
        <f t="shared" si="34"/>
        <v>0</v>
      </c>
      <c r="T181" s="265">
        <f t="shared" si="34"/>
        <v>0</v>
      </c>
      <c r="U181" s="265">
        <f t="shared" si="34"/>
        <v>0</v>
      </c>
      <c r="V181" s="265">
        <f t="shared" si="34"/>
        <v>0</v>
      </c>
      <c r="W181" s="265">
        <f t="shared" si="34"/>
        <v>741202.21</v>
      </c>
      <c r="X181" s="265">
        <f t="shared" si="34"/>
        <v>67580</v>
      </c>
      <c r="Y181" s="265">
        <f t="shared" si="34"/>
        <v>500000</v>
      </c>
      <c r="Z181" s="265">
        <f t="shared" si="34"/>
        <v>253980</v>
      </c>
      <c r="AA181" s="265">
        <f t="shared" si="34"/>
        <v>437909.75</v>
      </c>
      <c r="AB181" s="265">
        <f t="shared" si="34"/>
        <v>120580.58</v>
      </c>
      <c r="AC181" s="265">
        <f t="shared" si="34"/>
        <v>0</v>
      </c>
      <c r="AD181" s="265">
        <f t="shared" si="34"/>
        <v>-47669.89</v>
      </c>
      <c r="AE181" s="265">
        <f t="shared" si="34"/>
        <v>-264241.26</v>
      </c>
      <c r="AF181" s="265">
        <f t="shared" si="34"/>
        <v>-40.75</v>
      </c>
      <c r="AG181" s="265">
        <f t="shared" si="34"/>
        <v>0</v>
      </c>
    </row>
    <row r="182" spans="1:33" x14ac:dyDescent="0.2">
      <c r="A182" s="179"/>
      <c r="B182" s="181"/>
      <c r="C182" s="205"/>
      <c r="D182" s="215"/>
      <c r="E182" s="216"/>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E182" s="215"/>
      <c r="AF182" s="216"/>
      <c r="AG182" s="216"/>
    </row>
    <row r="183" spans="1:33" ht="13.5" thickBot="1" x14ac:dyDescent="0.25">
      <c r="A183" s="179"/>
      <c r="B183" s="259" t="s">
        <v>168</v>
      </c>
      <c r="C183" s="205"/>
      <c r="D183" s="215"/>
      <c r="E183" s="216"/>
      <c r="F183" s="215"/>
      <c r="G183" s="215"/>
      <c r="H183" s="215"/>
      <c r="I183" s="215"/>
      <c r="J183" s="215"/>
      <c r="K183" s="215"/>
      <c r="L183" s="215"/>
      <c r="M183" s="215"/>
      <c r="N183" s="215"/>
      <c r="O183" s="215"/>
      <c r="P183" s="215"/>
      <c r="Q183" s="215"/>
      <c r="R183" s="215"/>
      <c r="S183" s="215"/>
      <c r="T183" s="215"/>
      <c r="U183" s="215"/>
      <c r="V183" s="215"/>
      <c r="W183" s="215"/>
      <c r="X183" s="215"/>
      <c r="Y183" s="215"/>
      <c r="Z183" s="215"/>
      <c r="AA183" s="215"/>
      <c r="AB183" s="215"/>
      <c r="AC183" s="215"/>
      <c r="AD183" s="215"/>
      <c r="AE183" s="215"/>
      <c r="AF183" s="216"/>
      <c r="AG183" s="216"/>
    </row>
    <row r="184" spans="1:33" x14ac:dyDescent="0.2">
      <c r="A184" s="179"/>
      <c r="B184" s="217" t="str">
        <f>B29</f>
        <v>General Appropriations Act Programs</v>
      </c>
      <c r="C184" s="192" t="s">
        <v>36</v>
      </c>
      <c r="D184" s="218"/>
      <c r="E184" s="219"/>
      <c r="F184" s="218"/>
      <c r="G184" s="218"/>
      <c r="H184" s="218"/>
      <c r="I184" s="218"/>
      <c r="J184" s="218"/>
      <c r="K184" s="218"/>
      <c r="L184" s="218"/>
      <c r="M184" s="218"/>
      <c r="N184" s="218"/>
      <c r="O184" s="218"/>
      <c r="P184" s="218"/>
      <c r="Q184" s="218"/>
      <c r="R184" s="218"/>
      <c r="S184" s="218"/>
      <c r="T184" s="218"/>
      <c r="U184" s="218"/>
      <c r="V184" s="218"/>
      <c r="W184" s="218"/>
      <c r="X184" s="218"/>
      <c r="Y184" s="218"/>
      <c r="Z184" s="218"/>
      <c r="AA184" s="218"/>
      <c r="AB184" s="218"/>
      <c r="AC184" s="218"/>
      <c r="AD184" s="218"/>
      <c r="AE184" s="218"/>
      <c r="AF184" s="219"/>
      <c r="AG184" s="219"/>
    </row>
    <row r="185" spans="1:33" ht="51" x14ac:dyDescent="0.2">
      <c r="A185" s="179" t="s">
        <v>61</v>
      </c>
      <c r="B185" s="194" t="str">
        <f>B30</f>
        <v>State Funded Program #</v>
      </c>
      <c r="C185" s="233" t="str">
        <f t="shared" ref="C185:AG185" si="35">C30</f>
        <v>N/A</v>
      </c>
      <c r="D185" s="232" t="str">
        <f t="shared" si="35"/>
        <v>1002.050000.000 1003.100000.000 9500.050000.000</v>
      </c>
      <c r="E185" s="232" t="str">
        <f t="shared" si="35"/>
        <v>9811.040000X000 9815.050000X000  9818.060000X000 9815.130000X000</v>
      </c>
      <c r="F185" s="232" t="str">
        <f t="shared" si="35"/>
        <v>1002.050000.000 1003.100000.000</v>
      </c>
      <c r="G185" s="232" t="str">
        <f t="shared" si="35"/>
        <v>1000.350000.000 1003.100000.000 1000.200000.000 1000.400000.000</v>
      </c>
      <c r="H185" s="232" t="str">
        <f t="shared" si="35"/>
        <v>1000.200000.000 1001.150000.000 1000.400000.000  9500.050000.000</v>
      </c>
      <c r="I185" s="232" t="str">
        <f t="shared" si="35"/>
        <v xml:space="preserve">1001.150000.000 </v>
      </c>
      <c r="J185" s="232" t="str">
        <f t="shared" si="35"/>
        <v>0100.000000.000</v>
      </c>
      <c r="K185" s="232" t="str">
        <f t="shared" si="35"/>
        <v>1000.350000.000 9500.050000.000</v>
      </c>
      <c r="L185" s="232" t="str">
        <f t="shared" si="35"/>
        <v>1000.200000.000</v>
      </c>
      <c r="M185" s="232" t="str">
        <f t="shared" si="35"/>
        <v>1001.150000.000 9500.050000.000</v>
      </c>
      <c r="N185" s="232" t="str">
        <f t="shared" si="35"/>
        <v>1000.400000.000 9500.050000.000</v>
      </c>
      <c r="O185" s="232" t="str">
        <f t="shared" si="35"/>
        <v>1001.150000.000</v>
      </c>
      <c r="P185" s="232" t="str">
        <f t="shared" si="35"/>
        <v>1000.200000.000 9500.050000.000</v>
      </c>
      <c r="Q185" s="232" t="str">
        <f t="shared" si="35"/>
        <v>1000.300100.000 9500.050000.000</v>
      </c>
      <c r="R185" s="232" t="str">
        <f t="shared" si="35"/>
        <v>1000.200000.000  9500.050000.000</v>
      </c>
      <c r="S185" s="232" t="str">
        <f t="shared" si="35"/>
        <v>1001.150000.000 9500.050000.000</v>
      </c>
      <c r="T185" s="232" t="str">
        <f t="shared" si="35"/>
        <v>0100.000000.000</v>
      </c>
      <c r="U185" s="232" t="str">
        <f t="shared" si="35"/>
        <v>0100.000000.000 1000.300100.000</v>
      </c>
      <c r="V185" s="232" t="str">
        <f t="shared" si="35"/>
        <v>1000.200000.000</v>
      </c>
      <c r="W185" s="232" t="str">
        <f t="shared" si="35"/>
        <v>1000.300100.000</v>
      </c>
      <c r="X185" s="232" t="str">
        <f t="shared" si="35"/>
        <v>1000.300100.000</v>
      </c>
      <c r="Y185" s="232" t="str">
        <f t="shared" si="35"/>
        <v>9812.140000X000</v>
      </c>
      <c r="Z185" s="232" t="str">
        <f t="shared" si="35"/>
        <v>1000.300100.000</v>
      </c>
      <c r="AA185" s="232" t="str">
        <f t="shared" si="35"/>
        <v>9901.950700.000 9902.950800.000 9902.950900.000 9906.951000.000</v>
      </c>
      <c r="AB185" s="232" t="str">
        <f t="shared" si="35"/>
        <v>1000.300100.000</v>
      </c>
      <c r="AC185" s="232" t="str">
        <f t="shared" si="35"/>
        <v>1001.150000.000 9500.050000.000</v>
      </c>
      <c r="AD185" s="232" t="str">
        <f t="shared" si="35"/>
        <v>1002.050000.000 9500.050000.000</v>
      </c>
      <c r="AE185" s="232" t="str">
        <f t="shared" si="35"/>
        <v>1002.050000.000  1003.100000.000 9500.050000.000</v>
      </c>
      <c r="AF185" s="232" t="str">
        <f t="shared" si="35"/>
        <v>1003.100000.000 9500.050000.000</v>
      </c>
      <c r="AG185" s="232" t="str">
        <f t="shared" si="35"/>
        <v>1001.150000.000 9500.050000.000</v>
      </c>
    </row>
    <row r="186" spans="1:33" ht="76.5" x14ac:dyDescent="0.2">
      <c r="A186" s="179" t="s">
        <v>62</v>
      </c>
      <c r="B186" s="194" t="str">
        <f>B31</f>
        <v>State Funded Program Description in the General Appropriations Act</v>
      </c>
      <c r="C186" s="233" t="str">
        <f t="shared" ref="C186:AG186" si="36">C31</f>
        <v>N/A</v>
      </c>
      <c r="D186" s="232" t="str">
        <f t="shared" si="36"/>
        <v>II.A. OSHA Voluntary II.B. Occupational Safety &amp; Health, III. Employee Benefits</v>
      </c>
      <c r="E186" s="232" t="str">
        <f t="shared" si="36"/>
        <v>II.D. State Fire Marshal</v>
      </c>
      <c r="F186" s="232" t="str">
        <f t="shared" si="36"/>
        <v>II. A. OSHA Voluntary, II.B. Occupational Safety &amp; Health</v>
      </c>
      <c r="G186" s="232" t="str">
        <f t="shared" si="36"/>
        <v>II. G. Labor Services, II.B. Occupational Safety &amp; Health , II.D. State Fire Marshal, II.H. Building Codes</v>
      </c>
      <c r="H186" s="232" t="str">
        <f t="shared" si="36"/>
        <v>II.D. State Fire Marshal, II.C. Fire Academy, II. H. Building Codes, III.Employee Benefits</v>
      </c>
      <c r="I186" s="232" t="str">
        <f t="shared" si="36"/>
        <v>II. C. Fire Academy</v>
      </c>
      <c r="J186" s="232" t="str">
        <f t="shared" si="36"/>
        <v>I. Administration</v>
      </c>
      <c r="K186" s="232" t="str">
        <f t="shared" si="36"/>
        <v>II.E. Elevators/Amusement, III. Employee Benefits</v>
      </c>
      <c r="L186" s="232" t="str">
        <f t="shared" si="36"/>
        <v>II.D. State Fire Marshal</v>
      </c>
      <c r="M186" s="232" t="str">
        <f t="shared" si="36"/>
        <v>II.C. Fire Academy, III. Employee Benefits</v>
      </c>
      <c r="N186" s="232" t="str">
        <f t="shared" si="36"/>
        <v>II.H.Building Codes, III. Employee Benefits</v>
      </c>
      <c r="O186" s="232" t="str">
        <f t="shared" si="36"/>
        <v>II.C. Fire Academy</v>
      </c>
      <c r="P186" s="232" t="str">
        <f t="shared" si="36"/>
        <v>II. D. State Fire Marshal, III.Employee Benefits</v>
      </c>
      <c r="Q186" s="232" t="str">
        <f t="shared" si="36"/>
        <v>II.F. Prof &amp; Occup, III. Employee Benefits</v>
      </c>
      <c r="R186" s="232" t="str">
        <f t="shared" si="36"/>
        <v>II.D. State Fire Marshal, III. Employee Benefits</v>
      </c>
      <c r="S186" s="232" t="str">
        <f t="shared" si="36"/>
        <v>II.C. Fire Academy, III.Employee Benefits</v>
      </c>
      <c r="T186" s="232" t="str">
        <f t="shared" si="36"/>
        <v>I. Administration</v>
      </c>
      <c r="U186" s="232" t="str">
        <f t="shared" si="36"/>
        <v>I. Administration, II.F. Pol &amp; Occup</v>
      </c>
      <c r="V186" s="232" t="str">
        <f t="shared" si="36"/>
        <v>II. D. State Fire Marshal</v>
      </c>
      <c r="W186" s="232" t="str">
        <f t="shared" si="36"/>
        <v>II. F. Prof &amp; Occup</v>
      </c>
      <c r="X186" s="232" t="str">
        <f t="shared" si="36"/>
        <v>II. F. Prof &amp; Occup</v>
      </c>
      <c r="Y186" s="232" t="str">
        <f t="shared" si="36"/>
        <v>II.D. State Fire Marshal</v>
      </c>
      <c r="Z186" s="232" t="str">
        <f t="shared" si="36"/>
        <v>II. F. Prof &amp; Occup</v>
      </c>
      <c r="AA186" s="232" t="str">
        <f t="shared" si="36"/>
        <v>II.C. Fire Academy</v>
      </c>
      <c r="AB186" s="232" t="str">
        <f t="shared" si="36"/>
        <v>II. F. Prof &amp; Occup</v>
      </c>
      <c r="AC186" s="232" t="str">
        <f t="shared" si="36"/>
        <v xml:space="preserve">II. C. Fire Academy, III.Employee Benefits </v>
      </c>
      <c r="AD186" s="232" t="str">
        <f t="shared" si="36"/>
        <v>II.A. OSHA Voluntary, III. Employee Benefits</v>
      </c>
      <c r="AE186" s="232" t="str">
        <f t="shared" si="36"/>
        <v>II.A. OSHA Voluntary  and II.B. Occupational Safety &amp; Health III. Employee Benefits</v>
      </c>
      <c r="AF186" s="232" t="str">
        <f t="shared" si="36"/>
        <v>II.B. Occupational Safety &amp; Health, III. Employee Benefits</v>
      </c>
      <c r="AG186" s="232" t="str">
        <f t="shared" si="36"/>
        <v>II.C. Fire Academy, III.Employee Benefits</v>
      </c>
    </row>
    <row r="187" spans="1:33" x14ac:dyDescent="0.2">
      <c r="A187" s="179"/>
      <c r="B187" s="194"/>
      <c r="C187" s="195"/>
      <c r="D187" s="196"/>
      <c r="E187" s="196"/>
      <c r="F187" s="196"/>
      <c r="G187" s="196"/>
      <c r="H187" s="196"/>
      <c r="I187" s="196"/>
      <c r="J187" s="196"/>
      <c r="K187" s="196"/>
      <c r="L187" s="196"/>
      <c r="M187" s="196"/>
      <c r="N187" s="196"/>
      <c r="O187" s="196"/>
      <c r="P187" s="196"/>
      <c r="Q187" s="196"/>
      <c r="R187" s="196"/>
      <c r="S187" s="196"/>
      <c r="T187" s="196"/>
      <c r="U187" s="196"/>
      <c r="V187" s="196"/>
      <c r="W187" s="196"/>
      <c r="X187" s="196"/>
      <c r="Y187" s="196"/>
      <c r="Z187" s="196"/>
      <c r="AA187" s="196"/>
      <c r="AB187" s="196"/>
      <c r="AC187" s="196"/>
      <c r="AD187" s="196"/>
      <c r="AE187" s="196"/>
      <c r="AF187" s="196"/>
      <c r="AG187" s="196"/>
    </row>
    <row r="188" spans="1:33" x14ac:dyDescent="0.2">
      <c r="A188" s="179"/>
      <c r="B188" s="220" t="str">
        <f>B33</f>
        <v>Amounts Appropriated and Authorized (i.e. allowed to spend)</v>
      </c>
      <c r="C188" s="200" t="s">
        <v>36</v>
      </c>
      <c r="D188" s="196"/>
      <c r="E188" s="196"/>
      <c r="F188" s="196"/>
      <c r="G188" s="196"/>
      <c r="H188" s="196"/>
      <c r="I188" s="196"/>
      <c r="J188" s="196"/>
      <c r="K188" s="196"/>
      <c r="L188" s="196"/>
      <c r="M188" s="196"/>
      <c r="N188" s="196"/>
      <c r="O188" s="196"/>
      <c r="P188" s="196"/>
      <c r="Q188" s="196"/>
      <c r="R188" s="196"/>
      <c r="S188" s="196"/>
      <c r="T188" s="196"/>
      <c r="U188" s="196"/>
      <c r="V188" s="196"/>
      <c r="W188" s="196"/>
      <c r="X188" s="196"/>
      <c r="Y188" s="196"/>
      <c r="Z188" s="196"/>
      <c r="AA188" s="196"/>
      <c r="AB188" s="196"/>
      <c r="AC188" s="196"/>
      <c r="AD188" s="196"/>
      <c r="AE188" s="196"/>
      <c r="AF188" s="196"/>
      <c r="AG188" s="196"/>
    </row>
    <row r="189" spans="1:33" ht="25.5" x14ac:dyDescent="0.2">
      <c r="A189" s="179" t="s">
        <v>63</v>
      </c>
      <c r="B189" s="194" t="s">
        <v>39</v>
      </c>
      <c r="C189" s="202">
        <f>SUM(D189:DA189)</f>
        <v>937910.14</v>
      </c>
      <c r="D189" s="203">
        <v>0.39</v>
      </c>
      <c r="E189" s="198">
        <v>0</v>
      </c>
      <c r="F189" s="198">
        <v>0</v>
      </c>
      <c r="G189" s="198">
        <v>0</v>
      </c>
      <c r="H189" s="198">
        <v>0</v>
      </c>
      <c r="I189" s="198">
        <v>0</v>
      </c>
      <c r="J189" s="198">
        <v>0</v>
      </c>
      <c r="K189" s="198">
        <v>0</v>
      </c>
      <c r="L189" s="198">
        <v>0</v>
      </c>
      <c r="M189" s="198">
        <v>0</v>
      </c>
      <c r="N189" s="198">
        <v>0</v>
      </c>
      <c r="O189" s="198">
        <v>0</v>
      </c>
      <c r="P189" s="198">
        <v>0</v>
      </c>
      <c r="Q189" s="198">
        <v>0</v>
      </c>
      <c r="R189" s="198">
        <v>0</v>
      </c>
      <c r="S189" s="198">
        <v>0</v>
      </c>
      <c r="T189" s="198">
        <v>0</v>
      </c>
      <c r="U189" s="198">
        <v>0</v>
      </c>
      <c r="V189" s="198">
        <v>0</v>
      </c>
      <c r="W189" s="198">
        <v>0</v>
      </c>
      <c r="X189" s="198">
        <v>0</v>
      </c>
      <c r="Y189" s="198">
        <v>500000</v>
      </c>
      <c r="Z189" s="198">
        <v>0</v>
      </c>
      <c r="AA189" s="198">
        <v>437909.75</v>
      </c>
      <c r="AB189" s="198">
        <v>0</v>
      </c>
      <c r="AC189" s="198">
        <v>0</v>
      </c>
      <c r="AD189" s="198">
        <v>0</v>
      </c>
      <c r="AE189" s="198">
        <v>0</v>
      </c>
      <c r="AF189" s="198">
        <v>0</v>
      </c>
      <c r="AG189" s="198">
        <v>0</v>
      </c>
    </row>
    <row r="190" spans="1:33" x14ac:dyDescent="0.2">
      <c r="A190" s="179" t="s">
        <v>64</v>
      </c>
      <c r="B190" s="194" t="s">
        <v>1112</v>
      </c>
      <c r="C190" s="202">
        <f>SUM(D190:DA190)</f>
        <v>41102777</v>
      </c>
      <c r="D190" s="203">
        <v>1400905</v>
      </c>
      <c r="E190" s="203">
        <v>0</v>
      </c>
      <c r="F190" s="203">
        <v>0</v>
      </c>
      <c r="G190" s="203">
        <v>0</v>
      </c>
      <c r="H190" s="203">
        <v>14676176</v>
      </c>
      <c r="I190" s="203">
        <v>0</v>
      </c>
      <c r="J190" s="203">
        <v>0</v>
      </c>
      <c r="K190" s="203">
        <v>0</v>
      </c>
      <c r="L190" s="203">
        <v>0</v>
      </c>
      <c r="M190" s="203">
        <v>0</v>
      </c>
      <c r="N190" s="203">
        <v>0</v>
      </c>
      <c r="O190" s="203">
        <v>0</v>
      </c>
      <c r="P190" s="203">
        <v>21921432</v>
      </c>
      <c r="Q190" s="203">
        <v>0</v>
      </c>
      <c r="R190" s="203">
        <v>0</v>
      </c>
      <c r="S190" s="203">
        <v>0</v>
      </c>
      <c r="T190" s="203">
        <v>0</v>
      </c>
      <c r="U190" s="203">
        <v>0</v>
      </c>
      <c r="V190" s="203">
        <v>0</v>
      </c>
      <c r="W190" s="203">
        <v>200000</v>
      </c>
      <c r="X190" s="203">
        <v>0</v>
      </c>
      <c r="Y190" s="203">
        <v>0</v>
      </c>
      <c r="Z190" s="203">
        <v>0</v>
      </c>
      <c r="AA190" s="203">
        <v>0</v>
      </c>
      <c r="AB190" s="203">
        <v>0</v>
      </c>
      <c r="AC190" s="203">
        <v>20921</v>
      </c>
      <c r="AD190" s="203">
        <v>793442</v>
      </c>
      <c r="AE190" s="203">
        <v>2007401</v>
      </c>
      <c r="AF190" s="203">
        <v>82500</v>
      </c>
      <c r="AG190" s="203">
        <v>0</v>
      </c>
    </row>
    <row r="191" spans="1:33" x14ac:dyDescent="0.2">
      <c r="A191" s="179" t="s">
        <v>65</v>
      </c>
      <c r="B191" s="201" t="s">
        <v>194</v>
      </c>
      <c r="C191" s="202">
        <f>SUM(D191:DA191)</f>
        <v>42040687.140000001</v>
      </c>
      <c r="D191" s="198">
        <f t="shared" ref="D191:AG191" si="37">SUM(D189:D190)</f>
        <v>1400905.39</v>
      </c>
      <c r="E191" s="198">
        <f t="shared" si="37"/>
        <v>0</v>
      </c>
      <c r="F191" s="198">
        <f t="shared" si="37"/>
        <v>0</v>
      </c>
      <c r="G191" s="198">
        <f t="shared" si="37"/>
        <v>0</v>
      </c>
      <c r="H191" s="198">
        <f t="shared" si="37"/>
        <v>14676176</v>
      </c>
      <c r="I191" s="198">
        <f t="shared" si="37"/>
        <v>0</v>
      </c>
      <c r="J191" s="198">
        <f t="shared" si="37"/>
        <v>0</v>
      </c>
      <c r="K191" s="198">
        <f t="shared" si="37"/>
        <v>0</v>
      </c>
      <c r="L191" s="198">
        <f t="shared" si="37"/>
        <v>0</v>
      </c>
      <c r="M191" s="198">
        <f t="shared" si="37"/>
        <v>0</v>
      </c>
      <c r="N191" s="198">
        <f t="shared" si="37"/>
        <v>0</v>
      </c>
      <c r="O191" s="198">
        <f t="shared" si="37"/>
        <v>0</v>
      </c>
      <c r="P191" s="198">
        <f t="shared" si="37"/>
        <v>21921432</v>
      </c>
      <c r="Q191" s="198">
        <f t="shared" si="37"/>
        <v>0</v>
      </c>
      <c r="R191" s="198">
        <f t="shared" si="37"/>
        <v>0</v>
      </c>
      <c r="S191" s="198">
        <f t="shared" si="37"/>
        <v>0</v>
      </c>
      <c r="T191" s="198">
        <f t="shared" si="37"/>
        <v>0</v>
      </c>
      <c r="U191" s="198">
        <f t="shared" si="37"/>
        <v>0</v>
      </c>
      <c r="V191" s="198">
        <f t="shared" si="37"/>
        <v>0</v>
      </c>
      <c r="W191" s="198">
        <f t="shared" si="37"/>
        <v>200000</v>
      </c>
      <c r="X191" s="198">
        <f t="shared" si="37"/>
        <v>0</v>
      </c>
      <c r="Y191" s="198">
        <f t="shared" si="37"/>
        <v>500000</v>
      </c>
      <c r="Z191" s="198">
        <f t="shared" si="37"/>
        <v>0</v>
      </c>
      <c r="AA191" s="198">
        <f t="shared" si="37"/>
        <v>437909.75</v>
      </c>
      <c r="AB191" s="198">
        <f t="shared" si="37"/>
        <v>0</v>
      </c>
      <c r="AC191" s="198">
        <f t="shared" si="37"/>
        <v>20921</v>
      </c>
      <c r="AD191" s="198">
        <f t="shared" si="37"/>
        <v>793442</v>
      </c>
      <c r="AE191" s="198">
        <f t="shared" si="37"/>
        <v>2007401</v>
      </c>
      <c r="AF191" s="198">
        <f t="shared" si="37"/>
        <v>82500</v>
      </c>
      <c r="AG191" s="198">
        <f t="shared" si="37"/>
        <v>0</v>
      </c>
    </row>
    <row r="192" spans="1:33" x14ac:dyDescent="0.2">
      <c r="A192" s="179" t="s">
        <v>66</v>
      </c>
      <c r="B192" s="209" t="s">
        <v>1113</v>
      </c>
      <c r="C192" s="210">
        <f>SUM(D192:DA192)</f>
        <v>227688.17</v>
      </c>
      <c r="D192" s="211">
        <v>15704</v>
      </c>
      <c r="E192" s="211">
        <v>0</v>
      </c>
      <c r="F192" s="211">
        <v>0</v>
      </c>
      <c r="G192" s="211">
        <v>0</v>
      </c>
      <c r="H192" s="211">
        <v>191322.17</v>
      </c>
      <c r="I192" s="211">
        <v>0</v>
      </c>
      <c r="J192" s="211">
        <v>0</v>
      </c>
      <c r="K192" s="211">
        <v>0</v>
      </c>
      <c r="L192" s="211">
        <v>0</v>
      </c>
      <c r="M192" s="211">
        <v>0</v>
      </c>
      <c r="N192" s="211">
        <v>0</v>
      </c>
      <c r="O192" s="211">
        <v>0</v>
      </c>
      <c r="P192" s="211">
        <v>0</v>
      </c>
      <c r="Q192" s="211">
        <v>0</v>
      </c>
      <c r="R192" s="211">
        <v>0</v>
      </c>
      <c r="S192" s="211">
        <v>0</v>
      </c>
      <c r="T192" s="211">
        <v>0</v>
      </c>
      <c r="U192" s="211">
        <v>0</v>
      </c>
      <c r="V192" s="211">
        <v>0</v>
      </c>
      <c r="W192" s="211">
        <v>0</v>
      </c>
      <c r="X192" s="211">
        <v>0</v>
      </c>
      <c r="Y192" s="211">
        <v>0</v>
      </c>
      <c r="Z192" s="211">
        <v>0</v>
      </c>
      <c r="AA192" s="211">
        <v>0</v>
      </c>
      <c r="AB192" s="211">
        <v>0</v>
      </c>
      <c r="AC192" s="211">
        <v>20662</v>
      </c>
      <c r="AD192" s="211">
        <v>0</v>
      </c>
      <c r="AE192" s="211">
        <v>0</v>
      </c>
      <c r="AF192" s="211">
        <v>0</v>
      </c>
      <c r="AG192" s="211">
        <v>0</v>
      </c>
    </row>
    <row r="193" spans="1:33" ht="13.5" thickBot="1" x14ac:dyDescent="0.25">
      <c r="A193" s="179" t="s">
        <v>67</v>
      </c>
      <c r="B193" s="222" t="s">
        <v>195</v>
      </c>
      <c r="C193" s="264">
        <f>SUM(D193:DA193)</f>
        <v>42268375.310000002</v>
      </c>
      <c r="D193" s="265">
        <f>SUM(D191:D192)</f>
        <v>1416609.39</v>
      </c>
      <c r="E193" s="265">
        <f t="shared" ref="E193:AG193" si="38">SUM(E191:E192)</f>
        <v>0</v>
      </c>
      <c r="F193" s="265">
        <f t="shared" si="38"/>
        <v>0</v>
      </c>
      <c r="G193" s="265">
        <f t="shared" si="38"/>
        <v>0</v>
      </c>
      <c r="H193" s="265">
        <f t="shared" si="38"/>
        <v>14867498.17</v>
      </c>
      <c r="I193" s="265">
        <f t="shared" si="38"/>
        <v>0</v>
      </c>
      <c r="J193" s="265">
        <f t="shared" si="38"/>
        <v>0</v>
      </c>
      <c r="K193" s="265">
        <f t="shared" si="38"/>
        <v>0</v>
      </c>
      <c r="L193" s="265">
        <f t="shared" si="38"/>
        <v>0</v>
      </c>
      <c r="M193" s="265">
        <f t="shared" si="38"/>
        <v>0</v>
      </c>
      <c r="N193" s="265">
        <f t="shared" si="38"/>
        <v>0</v>
      </c>
      <c r="O193" s="265">
        <f t="shared" si="38"/>
        <v>0</v>
      </c>
      <c r="P193" s="265">
        <f t="shared" si="38"/>
        <v>21921432</v>
      </c>
      <c r="Q193" s="265">
        <f t="shared" si="38"/>
        <v>0</v>
      </c>
      <c r="R193" s="265">
        <f t="shared" si="38"/>
        <v>0</v>
      </c>
      <c r="S193" s="265">
        <f t="shared" si="38"/>
        <v>0</v>
      </c>
      <c r="T193" s="265">
        <f t="shared" si="38"/>
        <v>0</v>
      </c>
      <c r="U193" s="265">
        <f t="shared" si="38"/>
        <v>0</v>
      </c>
      <c r="V193" s="265">
        <f t="shared" si="38"/>
        <v>0</v>
      </c>
      <c r="W193" s="265">
        <f t="shared" si="38"/>
        <v>200000</v>
      </c>
      <c r="X193" s="265">
        <f t="shared" si="38"/>
        <v>0</v>
      </c>
      <c r="Y193" s="265">
        <f t="shared" si="38"/>
        <v>500000</v>
      </c>
      <c r="Z193" s="265">
        <f t="shared" si="38"/>
        <v>0</v>
      </c>
      <c r="AA193" s="265">
        <f t="shared" si="38"/>
        <v>437909.75</v>
      </c>
      <c r="AB193" s="265">
        <f t="shared" si="38"/>
        <v>0</v>
      </c>
      <c r="AC193" s="265">
        <f t="shared" si="38"/>
        <v>41583</v>
      </c>
      <c r="AD193" s="265">
        <f t="shared" si="38"/>
        <v>793442</v>
      </c>
      <c r="AE193" s="265">
        <f t="shared" si="38"/>
        <v>2007401</v>
      </c>
      <c r="AF193" s="265">
        <f t="shared" si="38"/>
        <v>82500</v>
      </c>
      <c r="AG193" s="265">
        <f t="shared" si="38"/>
        <v>0</v>
      </c>
    </row>
    <row r="194" spans="1:33" x14ac:dyDescent="0.2">
      <c r="A194" s="179"/>
      <c r="B194" s="223"/>
      <c r="C194" s="205"/>
      <c r="D194" s="224"/>
      <c r="E194" s="224"/>
      <c r="F194" s="224"/>
      <c r="G194" s="224"/>
      <c r="H194" s="224"/>
      <c r="I194" s="224"/>
      <c r="J194" s="224"/>
      <c r="K194" s="224"/>
      <c r="L194" s="224"/>
      <c r="M194" s="224"/>
      <c r="N194" s="224"/>
      <c r="O194" s="224"/>
      <c r="P194" s="224"/>
      <c r="Q194" s="224"/>
      <c r="R194" s="224"/>
      <c r="S194" s="224"/>
      <c r="T194" s="224"/>
      <c r="U194" s="224"/>
      <c r="V194" s="224"/>
      <c r="W194" s="224"/>
      <c r="X194" s="224"/>
      <c r="Y194" s="224"/>
      <c r="Z194" s="224"/>
      <c r="AA194" s="224"/>
      <c r="AB194" s="224"/>
      <c r="AC194" s="224"/>
      <c r="AD194" s="224"/>
      <c r="AE194" s="224"/>
      <c r="AF194" s="224"/>
      <c r="AG194" s="224"/>
    </row>
    <row r="195" spans="1:33" ht="13.5" thickBot="1" x14ac:dyDescent="0.25">
      <c r="A195" s="179"/>
      <c r="B195" s="259" t="s">
        <v>169</v>
      </c>
      <c r="C195" s="205"/>
      <c r="D195" s="224"/>
      <c r="E195" s="224"/>
      <c r="F195" s="224"/>
      <c r="G195" s="224"/>
      <c r="H195" s="224"/>
      <c r="I195" s="224"/>
      <c r="J195" s="224"/>
      <c r="K195" s="224"/>
      <c r="L195" s="224"/>
      <c r="M195" s="224"/>
      <c r="N195" s="224"/>
      <c r="O195" s="224"/>
      <c r="P195" s="224"/>
      <c r="Q195" s="224"/>
      <c r="R195" s="224"/>
      <c r="S195" s="224"/>
      <c r="T195" s="224"/>
      <c r="U195" s="224"/>
      <c r="V195" s="224"/>
      <c r="W195" s="224"/>
      <c r="X195" s="224"/>
      <c r="Y195" s="224"/>
      <c r="Z195" s="224"/>
      <c r="AA195" s="224"/>
      <c r="AB195" s="224"/>
      <c r="AC195" s="224"/>
      <c r="AD195" s="224"/>
      <c r="AE195" s="224"/>
      <c r="AF195" s="224"/>
      <c r="AG195" s="224"/>
    </row>
    <row r="196" spans="1:33" x14ac:dyDescent="0.2">
      <c r="A196" s="179"/>
      <c r="B196" s="217" t="s">
        <v>52</v>
      </c>
      <c r="C196" s="192" t="s">
        <v>36</v>
      </c>
      <c r="D196" s="225"/>
      <c r="E196" s="225"/>
      <c r="F196" s="225"/>
      <c r="G196" s="225"/>
      <c r="H196" s="225"/>
      <c r="I196" s="225"/>
      <c r="J196" s="225"/>
      <c r="K196" s="225"/>
      <c r="L196" s="225"/>
      <c r="M196" s="225"/>
      <c r="N196" s="225"/>
      <c r="O196" s="225"/>
      <c r="P196" s="225"/>
      <c r="Q196" s="225"/>
      <c r="R196" s="225"/>
      <c r="S196" s="225"/>
      <c r="T196" s="225"/>
      <c r="U196" s="225"/>
      <c r="V196" s="225"/>
      <c r="W196" s="225"/>
      <c r="X196" s="225"/>
      <c r="Y196" s="225"/>
      <c r="Z196" s="225"/>
      <c r="AA196" s="225"/>
      <c r="AB196" s="225"/>
      <c r="AC196" s="225"/>
      <c r="AD196" s="225"/>
      <c r="AE196" s="225"/>
      <c r="AF196" s="225"/>
      <c r="AG196" s="225"/>
    </row>
    <row r="197" spans="1:33" x14ac:dyDescent="0.2">
      <c r="A197" s="197" t="s">
        <v>68</v>
      </c>
      <c r="B197" s="226" t="s">
        <v>48</v>
      </c>
      <c r="C197" s="227" t="s">
        <v>43</v>
      </c>
      <c r="D197" s="232" t="str">
        <f t="shared" ref="D197:AG197" si="39">D43</f>
        <v>SCEIS</v>
      </c>
      <c r="E197" s="232" t="str">
        <f t="shared" si="39"/>
        <v>SCEIS</v>
      </c>
      <c r="F197" s="232" t="str">
        <f t="shared" si="39"/>
        <v>SCEIS</v>
      </c>
      <c r="G197" s="232" t="str">
        <f t="shared" si="39"/>
        <v>SCEIS</v>
      </c>
      <c r="H197" s="232" t="str">
        <f t="shared" si="39"/>
        <v>SCEIS</v>
      </c>
      <c r="I197" s="232" t="str">
        <f t="shared" si="39"/>
        <v>SCEIS</v>
      </c>
      <c r="J197" s="232" t="str">
        <f t="shared" si="39"/>
        <v>SCEIS</v>
      </c>
      <c r="K197" s="232" t="str">
        <f t="shared" si="39"/>
        <v>SCEIS</v>
      </c>
      <c r="L197" s="232" t="str">
        <f t="shared" si="39"/>
        <v>SCEIS</v>
      </c>
      <c r="M197" s="232" t="str">
        <f t="shared" si="39"/>
        <v>SCEIS</v>
      </c>
      <c r="N197" s="232" t="str">
        <f t="shared" si="39"/>
        <v>SCEIS</v>
      </c>
      <c r="O197" s="232" t="str">
        <f t="shared" si="39"/>
        <v>SCEIS</v>
      </c>
      <c r="P197" s="232" t="str">
        <f t="shared" si="39"/>
        <v>SCEIS</v>
      </c>
      <c r="Q197" s="232" t="str">
        <f t="shared" si="39"/>
        <v>SCEIS</v>
      </c>
      <c r="R197" s="232" t="str">
        <f t="shared" si="39"/>
        <v>SCEIS</v>
      </c>
      <c r="S197" s="232" t="str">
        <f t="shared" si="39"/>
        <v>SCEIS</v>
      </c>
      <c r="T197" s="232" t="str">
        <f t="shared" si="39"/>
        <v>SCEIS</v>
      </c>
      <c r="U197" s="232" t="str">
        <f t="shared" si="39"/>
        <v>SCEIS</v>
      </c>
      <c r="V197" s="232" t="str">
        <f t="shared" si="39"/>
        <v>SCEIS</v>
      </c>
      <c r="W197" s="232" t="str">
        <f t="shared" si="39"/>
        <v>SCEIS</v>
      </c>
      <c r="X197" s="232" t="str">
        <f t="shared" si="39"/>
        <v>SCEIS</v>
      </c>
      <c r="Y197" s="232" t="str">
        <f t="shared" si="39"/>
        <v>SCEIS</v>
      </c>
      <c r="Z197" s="232" t="str">
        <f t="shared" si="39"/>
        <v>SCEIS</v>
      </c>
      <c r="AA197" s="232" t="str">
        <f t="shared" si="39"/>
        <v>SCEIS</v>
      </c>
      <c r="AB197" s="232" t="str">
        <f t="shared" si="39"/>
        <v>SCEIS</v>
      </c>
      <c r="AC197" s="232" t="str">
        <f t="shared" si="39"/>
        <v>SCEIS</v>
      </c>
      <c r="AD197" s="232" t="str">
        <f t="shared" si="39"/>
        <v>SCEIS</v>
      </c>
      <c r="AE197" s="232" t="str">
        <f t="shared" si="39"/>
        <v>SCEIS</v>
      </c>
      <c r="AF197" s="232" t="str">
        <f t="shared" si="39"/>
        <v>SCEIS</v>
      </c>
      <c r="AG197" s="232" t="str">
        <f t="shared" si="39"/>
        <v>SCEIS</v>
      </c>
    </row>
    <row r="198" spans="1:33" x14ac:dyDescent="0.2">
      <c r="B198" s="228"/>
      <c r="C198" s="229"/>
      <c r="D198" s="207"/>
      <c r="E198" s="207"/>
      <c r="F198" s="207"/>
      <c r="G198" s="207"/>
      <c r="H198" s="207"/>
      <c r="I198" s="207"/>
      <c r="J198" s="207"/>
      <c r="K198" s="207"/>
      <c r="L198" s="207"/>
      <c r="M198" s="207"/>
      <c r="N198" s="207"/>
      <c r="O198" s="207"/>
      <c r="P198" s="207"/>
      <c r="Q198" s="207"/>
      <c r="R198" s="207"/>
      <c r="S198" s="207"/>
      <c r="T198" s="207"/>
      <c r="U198" s="207"/>
      <c r="V198" s="207"/>
      <c r="W198" s="207"/>
      <c r="X198" s="207"/>
      <c r="Y198" s="207"/>
      <c r="Z198" s="207"/>
      <c r="AA198" s="207"/>
      <c r="AB198" s="207"/>
      <c r="AC198" s="207"/>
      <c r="AD198" s="207"/>
      <c r="AE198" s="207"/>
      <c r="AF198" s="207"/>
      <c r="AG198" s="207"/>
    </row>
    <row r="199" spans="1:33" x14ac:dyDescent="0.2">
      <c r="B199" s="220" t="s">
        <v>154</v>
      </c>
      <c r="C199" s="200" t="s">
        <v>36</v>
      </c>
      <c r="D199" s="230"/>
      <c r="E199" s="230"/>
      <c r="F199" s="230"/>
      <c r="G199" s="230"/>
      <c r="H199" s="230"/>
      <c r="I199" s="230"/>
      <c r="J199" s="230"/>
      <c r="K199" s="230"/>
      <c r="L199" s="230"/>
      <c r="M199" s="230"/>
      <c r="N199" s="230"/>
      <c r="O199" s="230"/>
      <c r="P199" s="230"/>
      <c r="Q199" s="230"/>
      <c r="R199" s="230"/>
      <c r="S199" s="230"/>
      <c r="T199" s="230"/>
      <c r="U199" s="230"/>
      <c r="V199" s="230"/>
      <c r="W199" s="230"/>
      <c r="X199" s="230"/>
      <c r="Y199" s="230"/>
      <c r="Z199" s="230"/>
      <c r="AA199" s="230"/>
      <c r="AB199" s="230"/>
      <c r="AC199" s="230"/>
      <c r="AD199" s="230"/>
      <c r="AE199" s="230"/>
      <c r="AF199" s="230"/>
      <c r="AG199" s="230"/>
    </row>
    <row r="200" spans="1:33" ht="63.75" x14ac:dyDescent="0.2">
      <c r="A200" s="185" t="s">
        <v>69</v>
      </c>
      <c r="B200" s="194" t="s">
        <v>142</v>
      </c>
      <c r="C200" s="233" t="str">
        <f>C164</f>
        <v>N/A</v>
      </c>
      <c r="D200" s="232" t="str">
        <f>D164</f>
        <v>General Appropriation Programs</v>
      </c>
      <c r="E200" s="232" t="str">
        <f t="shared" ref="E200:AG200" si="40">E164</f>
        <v>Proviso 118.14(B)(42)(a-c)</v>
      </c>
      <c r="F200" s="232" t="str">
        <f t="shared" si="40"/>
        <v>Indirect Cost Recovery</v>
      </c>
      <c r="G200" s="232" t="str">
        <f t="shared" si="40"/>
        <v>Section 40-1-180 fines and costs</v>
      </c>
      <c r="H200" s="232" t="str">
        <f t="shared" si="40"/>
        <v>Fire Insurance Premium Tax</v>
      </c>
      <c r="I200" s="232" t="str">
        <f t="shared" si="40"/>
        <v>Act 60 - Fire Insurance Premium Tax</v>
      </c>
      <c r="J200" s="232" t="str">
        <f t="shared" si="40"/>
        <v>Immigration Fees</v>
      </c>
      <c r="K200" s="232" t="str">
        <f t="shared" si="40"/>
        <v>Elevators/Amusement Ride Fees</v>
      </c>
      <c r="L200" s="232" t="str">
        <f t="shared" si="40"/>
        <v>State Fire Marshal Fees</v>
      </c>
      <c r="M200" s="232" t="str">
        <f t="shared" si="40"/>
        <v>Fire Academy Fees</v>
      </c>
      <c r="N200" s="232" t="str">
        <f t="shared" si="40"/>
        <v>Building Code, Manuf'd Housing and Boiler Safety Program  Fees</v>
      </c>
      <c r="O200" s="232" t="str">
        <f t="shared" si="40"/>
        <v>Donations-Fire Academy</v>
      </c>
      <c r="P200" s="232" t="str">
        <f t="shared" si="40"/>
        <v>State Fire Marshal Fees</v>
      </c>
      <c r="Q200" s="232" t="str">
        <f t="shared" si="40"/>
        <v>Professional and Occupational Licensee Fees</v>
      </c>
      <c r="R200" s="232" t="str">
        <f t="shared" si="40"/>
        <v>State Fire Marshal - Pyro and LP Gas Fees</v>
      </c>
      <c r="S200" s="232" t="str">
        <f t="shared" si="40"/>
        <v>Federal Grants-Unrestricted R3601PAFL016 (matching funds for 2015 Flood Grant)</v>
      </c>
      <c r="T200" s="232" t="str">
        <f t="shared" si="40"/>
        <v>Sale of Surplus Materials &amp; Supplies</v>
      </c>
      <c r="U200" s="232" t="str">
        <f t="shared" si="40"/>
        <v xml:space="preserve">Refunds from Prior Year Expenditures </v>
      </c>
      <c r="V200" s="232" t="str">
        <f t="shared" si="40"/>
        <v>Insurance Claims</v>
      </c>
      <c r="W200" s="232" t="str">
        <f t="shared" si="40"/>
        <v>Research and Education Funds</v>
      </c>
      <c r="X200" s="232" t="str">
        <f t="shared" si="40"/>
        <v>Real Estate Appraisal Registry</v>
      </c>
      <c r="Y200" s="232" t="str">
        <f t="shared" si="40"/>
        <v>V-Safe Grant Funds</v>
      </c>
      <c r="Z200" s="232" t="str">
        <f t="shared" si="40"/>
        <v>Real Estate Vacation Time Share Recovery Fund</v>
      </c>
      <c r="AA200" s="232" t="str">
        <f t="shared" si="40"/>
        <v>Capital Projects</v>
      </c>
      <c r="AB200" s="232" t="str">
        <f t="shared" si="40"/>
        <v>Auctioneer Recovery Funds</v>
      </c>
      <c r="AC200" s="232" t="str">
        <f t="shared" si="40"/>
        <v>State Fire Training FEMA Grant</v>
      </c>
      <c r="AD200" s="232" t="str">
        <f t="shared" si="40"/>
        <v>OSHA 21D Grant</v>
      </c>
      <c r="AE200" s="232" t="str">
        <f t="shared" si="40"/>
        <v>OSHA 23G Grant</v>
      </c>
      <c r="AF200" s="232" t="str">
        <f t="shared" si="40"/>
        <v>OSHA BLS Grant</v>
      </c>
      <c r="AG200" s="232" t="str">
        <f t="shared" si="40"/>
        <v>Public Assistance Flood 2015 R3601PAFL016</v>
      </c>
    </row>
    <row r="201" spans="1:33" x14ac:dyDescent="0.2">
      <c r="A201" s="185" t="s">
        <v>70</v>
      </c>
      <c r="B201" s="194" t="s">
        <v>143</v>
      </c>
      <c r="C201" s="231" t="s">
        <v>43</v>
      </c>
      <c r="D201" s="232" t="str">
        <f t="shared" ref="D201:AG201" si="41">IF(ISBLANK(D47),"",(D47-1))</f>
        <v/>
      </c>
      <c r="E201" s="232" t="str">
        <f t="shared" si="41"/>
        <v/>
      </c>
      <c r="F201" s="232" t="str">
        <f t="shared" si="41"/>
        <v/>
      </c>
      <c r="G201" s="232" t="str">
        <f t="shared" si="41"/>
        <v/>
      </c>
      <c r="H201" s="232" t="str">
        <f t="shared" si="41"/>
        <v/>
      </c>
      <c r="I201" s="232" t="str">
        <f t="shared" si="41"/>
        <v/>
      </c>
      <c r="J201" s="232" t="str">
        <f t="shared" si="41"/>
        <v/>
      </c>
      <c r="K201" s="232" t="str">
        <f t="shared" si="41"/>
        <v/>
      </c>
      <c r="L201" s="232" t="str">
        <f t="shared" si="41"/>
        <v/>
      </c>
      <c r="M201" s="232" t="str">
        <f t="shared" si="41"/>
        <v/>
      </c>
      <c r="N201" s="232" t="str">
        <f t="shared" si="41"/>
        <v/>
      </c>
      <c r="O201" s="232" t="str">
        <f t="shared" si="41"/>
        <v/>
      </c>
      <c r="P201" s="232" t="str">
        <f t="shared" si="41"/>
        <v/>
      </c>
      <c r="Q201" s="232" t="str">
        <f t="shared" si="41"/>
        <v/>
      </c>
      <c r="R201" s="232" t="str">
        <f t="shared" si="41"/>
        <v/>
      </c>
      <c r="S201" s="232" t="str">
        <f t="shared" si="41"/>
        <v/>
      </c>
      <c r="T201" s="232" t="str">
        <f t="shared" si="41"/>
        <v/>
      </c>
      <c r="U201" s="232" t="str">
        <f t="shared" si="41"/>
        <v/>
      </c>
      <c r="V201" s="232" t="str">
        <f t="shared" si="41"/>
        <v/>
      </c>
      <c r="W201" s="232" t="str">
        <f t="shared" si="41"/>
        <v/>
      </c>
      <c r="X201" s="232" t="str">
        <f t="shared" si="41"/>
        <v/>
      </c>
      <c r="Y201" s="232" t="str">
        <f t="shared" si="41"/>
        <v/>
      </c>
      <c r="Z201" s="232" t="str">
        <f t="shared" si="41"/>
        <v/>
      </c>
      <c r="AA201" s="232" t="str">
        <f t="shared" si="41"/>
        <v/>
      </c>
      <c r="AB201" s="232" t="str">
        <f t="shared" si="41"/>
        <v/>
      </c>
      <c r="AC201" s="232" t="str">
        <f t="shared" si="41"/>
        <v/>
      </c>
      <c r="AD201" s="232" t="str">
        <f t="shared" si="41"/>
        <v/>
      </c>
      <c r="AE201" s="232" t="str">
        <f t="shared" si="41"/>
        <v/>
      </c>
      <c r="AF201" s="232" t="str">
        <f t="shared" si="41"/>
        <v/>
      </c>
      <c r="AG201" s="232" t="str">
        <f t="shared" si="41"/>
        <v/>
      </c>
    </row>
    <row r="202" spans="1:33" ht="25.5" x14ac:dyDescent="0.2">
      <c r="A202" s="179" t="s">
        <v>71</v>
      </c>
      <c r="B202" s="228" t="s">
        <v>152</v>
      </c>
      <c r="C202" s="227" t="s">
        <v>43</v>
      </c>
      <c r="D202" s="207">
        <f t="shared" ref="D202:AG202" si="42">D48</f>
        <v>0</v>
      </c>
      <c r="E202" s="207">
        <f t="shared" si="42"/>
        <v>0</v>
      </c>
      <c r="F202" s="207" t="str">
        <f t="shared" si="42"/>
        <v>Remit to General Fund</v>
      </c>
      <c r="G202" s="207" t="str">
        <f t="shared" si="42"/>
        <v>Remit to General Fund</v>
      </c>
      <c r="H202" s="207">
        <f t="shared" si="42"/>
        <v>0</v>
      </c>
      <c r="I202" s="207">
        <f t="shared" si="42"/>
        <v>0</v>
      </c>
      <c r="J202" s="207">
        <f t="shared" si="42"/>
        <v>0</v>
      </c>
      <c r="K202" s="207">
        <f t="shared" si="42"/>
        <v>0</v>
      </c>
      <c r="L202" s="207">
        <f t="shared" si="42"/>
        <v>0</v>
      </c>
      <c r="M202" s="207">
        <f t="shared" si="42"/>
        <v>0</v>
      </c>
      <c r="N202" s="207">
        <f t="shared" si="42"/>
        <v>0</v>
      </c>
      <c r="O202" s="207" t="str">
        <f t="shared" si="42"/>
        <v xml:space="preserve"> </v>
      </c>
      <c r="P202" s="207">
        <f t="shared" si="42"/>
        <v>0</v>
      </c>
      <c r="Q202" s="207">
        <f t="shared" si="42"/>
        <v>0</v>
      </c>
      <c r="R202" s="207">
        <f t="shared" si="42"/>
        <v>0</v>
      </c>
      <c r="S202" s="207">
        <f t="shared" si="42"/>
        <v>0</v>
      </c>
      <c r="T202" s="207">
        <f t="shared" si="42"/>
        <v>0</v>
      </c>
      <c r="U202" s="207">
        <f t="shared" si="42"/>
        <v>0</v>
      </c>
      <c r="V202" s="207">
        <f t="shared" si="42"/>
        <v>0</v>
      </c>
      <c r="W202" s="207" t="str">
        <f t="shared" si="42"/>
        <v>Education &amp; Research</v>
      </c>
      <c r="X202" s="207" t="str">
        <f t="shared" si="42"/>
        <v>Appraisal Registry</v>
      </c>
      <c r="Y202" s="207" t="str">
        <f t="shared" si="42"/>
        <v>V-Safe Program</v>
      </c>
      <c r="Z202" s="207" t="str">
        <f t="shared" si="42"/>
        <v>Vacation Time Share Recovery</v>
      </c>
      <c r="AA202" s="207" t="str">
        <f t="shared" si="42"/>
        <v>Capital Projects</v>
      </c>
      <c r="AB202" s="207" t="str">
        <f t="shared" si="42"/>
        <v xml:space="preserve">Auctioneer Recovery </v>
      </c>
      <c r="AC202" s="207" t="str">
        <f t="shared" si="42"/>
        <v>Grant</v>
      </c>
      <c r="AD202" s="207" t="str">
        <f t="shared" si="42"/>
        <v>Grant</v>
      </c>
      <c r="AE202" s="207" t="str">
        <f t="shared" si="42"/>
        <v>Grant</v>
      </c>
      <c r="AF202" s="207" t="str">
        <f t="shared" si="42"/>
        <v>Grant</v>
      </c>
      <c r="AG202" s="207" t="str">
        <f t="shared" si="42"/>
        <v>Grant</v>
      </c>
    </row>
    <row r="203" spans="1:33" ht="76.5" x14ac:dyDescent="0.2">
      <c r="A203" s="185" t="s">
        <v>72</v>
      </c>
      <c r="B203" s="194" t="s">
        <v>46</v>
      </c>
      <c r="C203" s="233" t="str">
        <f>C186</f>
        <v>N/A</v>
      </c>
      <c r="D203" s="232" t="str">
        <f>D186</f>
        <v>II.A. OSHA Voluntary II.B. Occupational Safety &amp; Health, III. Employee Benefits</v>
      </c>
      <c r="E203" s="232" t="str">
        <f t="shared" ref="E203:AG203" si="43">E186</f>
        <v>II.D. State Fire Marshal</v>
      </c>
      <c r="F203" s="232" t="str">
        <f t="shared" si="43"/>
        <v>II. A. OSHA Voluntary, II.B. Occupational Safety &amp; Health</v>
      </c>
      <c r="G203" s="232" t="str">
        <f t="shared" si="43"/>
        <v>II. G. Labor Services, II.B. Occupational Safety &amp; Health , II.D. State Fire Marshal, II.H. Building Codes</v>
      </c>
      <c r="H203" s="232" t="str">
        <f t="shared" si="43"/>
        <v>II.D. State Fire Marshal, II.C. Fire Academy, II. H. Building Codes, III.Employee Benefits</v>
      </c>
      <c r="I203" s="232" t="str">
        <f t="shared" si="43"/>
        <v>II. C. Fire Academy</v>
      </c>
      <c r="J203" s="232" t="str">
        <f t="shared" si="43"/>
        <v>I. Administration</v>
      </c>
      <c r="K203" s="232" t="str">
        <f t="shared" si="43"/>
        <v>II.E. Elevators/Amusement, III. Employee Benefits</v>
      </c>
      <c r="L203" s="232" t="str">
        <f t="shared" si="43"/>
        <v>II.D. State Fire Marshal</v>
      </c>
      <c r="M203" s="232" t="str">
        <f t="shared" si="43"/>
        <v>II.C. Fire Academy, III. Employee Benefits</v>
      </c>
      <c r="N203" s="232" t="str">
        <f t="shared" si="43"/>
        <v>II.H.Building Codes, III. Employee Benefits</v>
      </c>
      <c r="O203" s="232" t="str">
        <f t="shared" si="43"/>
        <v>II.C. Fire Academy</v>
      </c>
      <c r="P203" s="232" t="str">
        <f t="shared" si="43"/>
        <v>II. D. State Fire Marshal, III.Employee Benefits</v>
      </c>
      <c r="Q203" s="232" t="str">
        <f t="shared" si="43"/>
        <v>II.F. Prof &amp; Occup, III. Employee Benefits</v>
      </c>
      <c r="R203" s="232" t="str">
        <f t="shared" si="43"/>
        <v>II.D. State Fire Marshal, III. Employee Benefits</v>
      </c>
      <c r="S203" s="232" t="str">
        <f t="shared" si="43"/>
        <v>II.C. Fire Academy, III.Employee Benefits</v>
      </c>
      <c r="T203" s="232" t="str">
        <f t="shared" si="43"/>
        <v>I. Administration</v>
      </c>
      <c r="U203" s="232" t="str">
        <f t="shared" si="43"/>
        <v>I. Administration, II.F. Pol &amp; Occup</v>
      </c>
      <c r="V203" s="232" t="str">
        <f t="shared" si="43"/>
        <v>II. D. State Fire Marshal</v>
      </c>
      <c r="W203" s="232" t="str">
        <f t="shared" si="43"/>
        <v>II. F. Prof &amp; Occup</v>
      </c>
      <c r="X203" s="232" t="str">
        <f t="shared" si="43"/>
        <v>II. F. Prof &amp; Occup</v>
      </c>
      <c r="Y203" s="232" t="str">
        <f t="shared" si="43"/>
        <v>II.D. State Fire Marshal</v>
      </c>
      <c r="Z203" s="232" t="str">
        <f t="shared" si="43"/>
        <v>II. F. Prof &amp; Occup</v>
      </c>
      <c r="AA203" s="232" t="str">
        <f t="shared" si="43"/>
        <v>II.C. Fire Academy</v>
      </c>
      <c r="AB203" s="232" t="str">
        <f t="shared" si="43"/>
        <v>II. F. Prof &amp; Occup</v>
      </c>
      <c r="AC203" s="232" t="str">
        <f t="shared" si="43"/>
        <v xml:space="preserve">II. C. Fire Academy, III.Employee Benefits </v>
      </c>
      <c r="AD203" s="232" t="str">
        <f t="shared" si="43"/>
        <v>II.A. OSHA Voluntary, III. Employee Benefits</v>
      </c>
      <c r="AE203" s="232" t="str">
        <f t="shared" si="43"/>
        <v>II.A. OSHA Voluntary  and II.B. Occupational Safety &amp; Health III. Employee Benefits</v>
      </c>
      <c r="AF203" s="232" t="str">
        <f t="shared" si="43"/>
        <v>II.B. Occupational Safety &amp; Health, III. Employee Benefits</v>
      </c>
      <c r="AG203" s="232" t="str">
        <f t="shared" si="43"/>
        <v>II.C. Fire Academy, III.Employee Benefits</v>
      </c>
    </row>
    <row r="204" spans="1:33" x14ac:dyDescent="0.2">
      <c r="A204" s="185" t="s">
        <v>73</v>
      </c>
      <c r="B204" s="201" t="s">
        <v>220</v>
      </c>
      <c r="C204" s="202">
        <f>C193</f>
        <v>42268375.310000002</v>
      </c>
      <c r="D204" s="198">
        <f>D193</f>
        <v>1416609.39</v>
      </c>
      <c r="E204" s="198">
        <f>E193</f>
        <v>0</v>
      </c>
      <c r="F204" s="198">
        <f>F193</f>
        <v>0</v>
      </c>
      <c r="G204" s="198">
        <f>G193</f>
        <v>0</v>
      </c>
      <c r="H204" s="198">
        <f t="shared" ref="H204:AE204" si="44">H193</f>
        <v>14867498.17</v>
      </c>
      <c r="I204" s="198">
        <f t="shared" si="44"/>
        <v>0</v>
      </c>
      <c r="J204" s="198">
        <f t="shared" si="44"/>
        <v>0</v>
      </c>
      <c r="K204" s="198">
        <f t="shared" si="44"/>
        <v>0</v>
      </c>
      <c r="L204" s="198">
        <f t="shared" si="44"/>
        <v>0</v>
      </c>
      <c r="M204" s="198">
        <f t="shared" si="44"/>
        <v>0</v>
      </c>
      <c r="N204" s="198">
        <f t="shared" si="44"/>
        <v>0</v>
      </c>
      <c r="O204" s="198">
        <f t="shared" si="44"/>
        <v>0</v>
      </c>
      <c r="P204" s="198">
        <f t="shared" si="44"/>
        <v>21921432</v>
      </c>
      <c r="Q204" s="198">
        <f t="shared" si="44"/>
        <v>0</v>
      </c>
      <c r="R204" s="198">
        <f t="shared" si="44"/>
        <v>0</v>
      </c>
      <c r="S204" s="198">
        <f t="shared" si="44"/>
        <v>0</v>
      </c>
      <c r="T204" s="198">
        <f t="shared" si="44"/>
        <v>0</v>
      </c>
      <c r="U204" s="198">
        <f t="shared" si="44"/>
        <v>0</v>
      </c>
      <c r="V204" s="198">
        <f t="shared" si="44"/>
        <v>0</v>
      </c>
      <c r="W204" s="198">
        <f t="shared" si="44"/>
        <v>200000</v>
      </c>
      <c r="X204" s="198">
        <f t="shared" si="44"/>
        <v>0</v>
      </c>
      <c r="Y204" s="198">
        <f t="shared" si="44"/>
        <v>500000</v>
      </c>
      <c r="Z204" s="198">
        <f t="shared" si="44"/>
        <v>0</v>
      </c>
      <c r="AA204" s="198">
        <f t="shared" si="44"/>
        <v>437909.75</v>
      </c>
      <c r="AB204" s="198">
        <f t="shared" si="44"/>
        <v>0</v>
      </c>
      <c r="AC204" s="198">
        <f t="shared" si="44"/>
        <v>41583</v>
      </c>
      <c r="AD204" s="198">
        <f t="shared" si="44"/>
        <v>793442</v>
      </c>
      <c r="AE204" s="198">
        <f t="shared" si="44"/>
        <v>2007401</v>
      </c>
      <c r="AF204" s="198">
        <f>AF193</f>
        <v>82500</v>
      </c>
      <c r="AG204" s="198">
        <f>AG193</f>
        <v>0</v>
      </c>
    </row>
    <row r="205" spans="1:33" x14ac:dyDescent="0.2">
      <c r="B205" s="194"/>
      <c r="C205" s="202"/>
      <c r="D205" s="198"/>
      <c r="E205" s="198"/>
      <c r="F205" s="198"/>
      <c r="G205" s="198"/>
      <c r="H205" s="198"/>
      <c r="I205" s="198"/>
      <c r="J205" s="198"/>
      <c r="K205" s="198"/>
      <c r="L205" s="198"/>
      <c r="M205" s="198"/>
      <c r="N205" s="198"/>
      <c r="O205" s="198"/>
      <c r="P205" s="198"/>
      <c r="Q205" s="198"/>
      <c r="R205" s="198"/>
      <c r="S205" s="198"/>
      <c r="T205" s="198"/>
      <c r="U205" s="198"/>
      <c r="V205" s="198"/>
      <c r="W205" s="198"/>
      <c r="X205" s="198"/>
      <c r="Y205" s="198"/>
      <c r="Z205" s="198"/>
      <c r="AA205" s="198"/>
      <c r="AB205" s="198"/>
      <c r="AC205" s="198"/>
      <c r="AD205" s="198"/>
      <c r="AE205" s="198"/>
      <c r="AF205" s="198"/>
      <c r="AG205" s="198"/>
    </row>
    <row r="206" spans="1:33" ht="25.5" x14ac:dyDescent="0.2">
      <c r="B206" s="234" t="s">
        <v>219</v>
      </c>
      <c r="C206" s="202"/>
      <c r="D206" s="202"/>
      <c r="E206" s="202"/>
      <c r="F206" s="202"/>
      <c r="G206" s="202"/>
      <c r="H206" s="202"/>
      <c r="I206" s="202"/>
      <c r="J206" s="202"/>
      <c r="K206" s="202"/>
      <c r="L206" s="202"/>
      <c r="M206" s="202"/>
      <c r="N206" s="202"/>
      <c r="O206" s="202"/>
      <c r="P206" s="202"/>
      <c r="Q206" s="202"/>
      <c r="R206" s="202"/>
      <c r="S206" s="202"/>
      <c r="T206" s="202"/>
      <c r="U206" s="202"/>
      <c r="V206" s="202"/>
      <c r="W206" s="202"/>
      <c r="X206" s="202"/>
      <c r="Y206" s="202"/>
      <c r="Z206" s="202"/>
      <c r="AA206" s="202"/>
      <c r="AB206" s="202"/>
      <c r="AC206" s="202"/>
      <c r="AD206" s="202"/>
      <c r="AE206" s="202"/>
      <c r="AF206" s="202"/>
      <c r="AG206" s="202"/>
    </row>
    <row r="207" spans="1:33" x14ac:dyDescent="0.2">
      <c r="B207" s="235" t="s">
        <v>149</v>
      </c>
      <c r="C207" s="202"/>
      <c r="D207" s="198"/>
      <c r="E207" s="198"/>
      <c r="F207" s="198"/>
      <c r="G207" s="198"/>
      <c r="H207" s="198"/>
      <c r="I207" s="198"/>
      <c r="J207" s="198"/>
      <c r="K207" s="198"/>
      <c r="L207" s="198"/>
      <c r="M207" s="198"/>
      <c r="N207" s="198"/>
      <c r="O207" s="198"/>
      <c r="P207" s="198"/>
      <c r="Q207" s="198"/>
      <c r="R207" s="198"/>
      <c r="S207" s="198"/>
      <c r="T207" s="198"/>
      <c r="U207" s="198"/>
      <c r="V207" s="198"/>
      <c r="W207" s="198"/>
      <c r="X207" s="198"/>
      <c r="Y207" s="198"/>
      <c r="Z207" s="198"/>
      <c r="AA207" s="198"/>
      <c r="AB207" s="198"/>
      <c r="AC207" s="198"/>
      <c r="AD207" s="198"/>
      <c r="AE207" s="198"/>
      <c r="AF207" s="198"/>
      <c r="AG207" s="198"/>
    </row>
    <row r="208" spans="1:33" ht="25.5" x14ac:dyDescent="0.2">
      <c r="B208" s="12" t="s">
        <v>807</v>
      </c>
      <c r="C208" s="237"/>
      <c r="D208" s="237"/>
      <c r="E208" s="237"/>
      <c r="F208" s="237"/>
      <c r="G208" s="237"/>
      <c r="H208" s="237"/>
      <c r="I208" s="237"/>
      <c r="J208" s="237"/>
      <c r="K208" s="237"/>
      <c r="L208" s="237"/>
      <c r="M208" s="237"/>
      <c r="N208" s="237"/>
      <c r="O208" s="237"/>
      <c r="P208" s="237"/>
      <c r="Q208" s="237"/>
      <c r="R208" s="237"/>
      <c r="S208" s="237"/>
      <c r="T208" s="237"/>
      <c r="U208" s="237"/>
      <c r="V208" s="237"/>
      <c r="W208" s="237"/>
      <c r="X208" s="237"/>
      <c r="Y208" s="237"/>
      <c r="Z208" s="237"/>
      <c r="AA208" s="237"/>
      <c r="AB208" s="237"/>
      <c r="AC208" s="237"/>
      <c r="AD208" s="237"/>
      <c r="AE208" s="237"/>
      <c r="AF208" s="237"/>
      <c r="AG208" s="237"/>
    </row>
    <row r="209" spans="1:33" ht="25.5" x14ac:dyDescent="0.2">
      <c r="A209" s="179"/>
      <c r="B209" s="239" t="s">
        <v>808</v>
      </c>
      <c r="C209" s="238"/>
      <c r="D209" s="198"/>
      <c r="E209" s="198"/>
      <c r="F209" s="198"/>
      <c r="G209" s="198"/>
      <c r="H209" s="198"/>
      <c r="I209" s="198"/>
      <c r="J209" s="198"/>
      <c r="K209" s="198"/>
      <c r="L209" s="198"/>
      <c r="M209" s="198"/>
      <c r="N209" s="198"/>
      <c r="O209" s="198"/>
      <c r="P209" s="198"/>
      <c r="Q209" s="198"/>
      <c r="R209" s="198"/>
      <c r="S209" s="198"/>
      <c r="T209" s="198"/>
      <c r="U209" s="198"/>
      <c r="V209" s="198"/>
      <c r="W209" s="198"/>
      <c r="X209" s="198"/>
      <c r="Y209" s="198"/>
      <c r="Z209" s="198"/>
      <c r="AA209" s="198"/>
      <c r="AB209" s="198"/>
      <c r="AC209" s="198"/>
      <c r="AD209" s="198"/>
      <c r="AE209" s="198"/>
      <c r="AF209" s="198"/>
      <c r="AG209" s="198"/>
    </row>
    <row r="210" spans="1:33" x14ac:dyDescent="0.2">
      <c r="A210" s="179"/>
      <c r="B210" s="240" t="s">
        <v>1177</v>
      </c>
      <c r="C210" s="238">
        <f>SUM(D210:DA210)</f>
        <v>548921.33000000007</v>
      </c>
      <c r="D210" s="198"/>
      <c r="E210" s="198"/>
      <c r="F210" s="198"/>
      <c r="G210" s="198"/>
      <c r="H210" s="198">
        <v>516293.52</v>
      </c>
      <c r="I210" s="198"/>
      <c r="J210" s="198"/>
      <c r="K210" s="198"/>
      <c r="L210" s="198"/>
      <c r="M210" s="198"/>
      <c r="N210" s="198"/>
      <c r="O210" s="198"/>
      <c r="P210" s="198">
        <v>30794</v>
      </c>
      <c r="Q210" s="198"/>
      <c r="R210" s="198"/>
      <c r="S210" s="198"/>
      <c r="T210" s="198"/>
      <c r="U210" s="198"/>
      <c r="V210" s="198"/>
      <c r="W210" s="198"/>
      <c r="X210" s="198"/>
      <c r="Y210" s="198"/>
      <c r="Z210" s="198"/>
      <c r="AA210" s="198"/>
      <c r="AB210" s="198"/>
      <c r="AC210" s="198">
        <v>1833.81</v>
      </c>
      <c r="AD210" s="198"/>
      <c r="AE210" s="198"/>
      <c r="AF210" s="198"/>
      <c r="AG210" s="198"/>
    </row>
    <row r="211" spans="1:33" ht="25.5" x14ac:dyDescent="0.2">
      <c r="A211" s="179"/>
      <c r="B211" s="240" t="s">
        <v>809</v>
      </c>
      <c r="C211" s="238">
        <f>SUM(D211:DA211)</f>
        <v>605210.35</v>
      </c>
      <c r="D211" s="198"/>
      <c r="E211" s="198"/>
      <c r="F211" s="198"/>
      <c r="G211" s="198"/>
      <c r="H211" s="198">
        <v>570147.26</v>
      </c>
      <c r="I211" s="198"/>
      <c r="J211" s="198"/>
      <c r="K211" s="198"/>
      <c r="L211" s="198"/>
      <c r="M211" s="198"/>
      <c r="N211" s="198"/>
      <c r="O211" s="198"/>
      <c r="P211" s="198">
        <v>33038</v>
      </c>
      <c r="Q211" s="198"/>
      <c r="R211" s="198"/>
      <c r="S211" s="198"/>
      <c r="T211" s="198"/>
      <c r="U211" s="198"/>
      <c r="V211" s="198"/>
      <c r="W211" s="198"/>
      <c r="X211" s="198"/>
      <c r="Y211" s="198"/>
      <c r="Z211" s="198"/>
      <c r="AA211" s="198"/>
      <c r="AB211" s="198"/>
      <c r="AC211" s="198">
        <v>2025.09</v>
      </c>
      <c r="AD211" s="198"/>
      <c r="AE211" s="198"/>
      <c r="AF211" s="198"/>
      <c r="AG211" s="198"/>
    </row>
    <row r="212" spans="1:33" ht="25.5" x14ac:dyDescent="0.2">
      <c r="A212" s="179"/>
      <c r="B212" s="240" t="s">
        <v>810</v>
      </c>
      <c r="C212" s="238">
        <f>SUM(D212:DA212)</f>
        <v>1804409.42</v>
      </c>
      <c r="D212" s="198"/>
      <c r="E212" s="198"/>
      <c r="F212" s="198"/>
      <c r="G212" s="198"/>
      <c r="H212" s="198">
        <v>1717466.19</v>
      </c>
      <c r="I212" s="198"/>
      <c r="J212" s="198"/>
      <c r="K212" s="198"/>
      <c r="L212" s="198"/>
      <c r="M212" s="198"/>
      <c r="N212" s="198"/>
      <c r="O212" s="198"/>
      <c r="P212" s="198">
        <v>80843</v>
      </c>
      <c r="Q212" s="198"/>
      <c r="R212" s="198"/>
      <c r="S212" s="198"/>
      <c r="T212" s="198"/>
      <c r="U212" s="198"/>
      <c r="V212" s="198"/>
      <c r="W212" s="198"/>
      <c r="X212" s="198"/>
      <c r="Y212" s="198"/>
      <c r="Z212" s="198"/>
      <c r="AA212" s="198"/>
      <c r="AB212" s="198"/>
      <c r="AC212" s="198">
        <v>6100.23</v>
      </c>
      <c r="AD212" s="198"/>
      <c r="AE212" s="198"/>
      <c r="AF212" s="198"/>
      <c r="AG212" s="198"/>
    </row>
    <row r="213" spans="1:33" ht="38.25" x14ac:dyDescent="0.2">
      <c r="A213" s="179"/>
      <c r="B213" s="240" t="s">
        <v>811</v>
      </c>
      <c r="C213" s="238">
        <f>SUM(D213:DA213)</f>
        <v>733696</v>
      </c>
      <c r="D213" s="198"/>
      <c r="E213" s="198"/>
      <c r="F213" s="198"/>
      <c r="G213" s="198"/>
      <c r="H213" s="198">
        <v>693074.29</v>
      </c>
      <c r="I213" s="198"/>
      <c r="J213" s="198"/>
      <c r="K213" s="198"/>
      <c r="L213" s="198"/>
      <c r="M213" s="198"/>
      <c r="N213" s="198"/>
      <c r="O213" s="198"/>
      <c r="P213" s="198">
        <v>38160</v>
      </c>
      <c r="Q213" s="198"/>
      <c r="R213" s="198"/>
      <c r="S213" s="198"/>
      <c r="T213" s="198"/>
      <c r="U213" s="198"/>
      <c r="V213" s="198"/>
      <c r="W213" s="198"/>
      <c r="X213" s="198"/>
      <c r="Y213" s="198"/>
      <c r="Z213" s="198"/>
      <c r="AA213" s="198"/>
      <c r="AB213" s="198"/>
      <c r="AC213" s="198">
        <v>2461.71</v>
      </c>
      <c r="AD213" s="198"/>
      <c r="AE213" s="198"/>
      <c r="AF213" s="198"/>
      <c r="AG213" s="198"/>
    </row>
    <row r="214" spans="1:33" ht="25.5" x14ac:dyDescent="0.2">
      <c r="A214" s="179"/>
      <c r="B214" s="241" t="s">
        <v>812</v>
      </c>
      <c r="C214" s="238" t="s">
        <v>584</v>
      </c>
      <c r="D214" s="198"/>
      <c r="E214" s="198"/>
      <c r="F214" s="198"/>
      <c r="G214" s="198"/>
      <c r="H214" s="198"/>
      <c r="I214" s="198"/>
      <c r="J214" s="198"/>
      <c r="K214" s="198"/>
      <c r="L214" s="198"/>
      <c r="M214" s="198"/>
      <c r="N214" s="198"/>
      <c r="O214" s="198"/>
      <c r="P214" s="198"/>
      <c r="Q214" s="198"/>
      <c r="R214" s="198"/>
      <c r="S214" s="198"/>
      <c r="T214" s="198"/>
      <c r="U214" s="198"/>
      <c r="V214" s="198"/>
      <c r="W214" s="198"/>
      <c r="X214" s="198"/>
      <c r="Y214" s="198"/>
      <c r="Z214" s="198"/>
      <c r="AA214" s="198"/>
      <c r="AB214" s="198"/>
      <c r="AC214" s="198"/>
      <c r="AD214" s="198"/>
      <c r="AE214" s="198"/>
      <c r="AF214" s="198"/>
      <c r="AG214" s="198"/>
    </row>
    <row r="215" spans="1:33" ht="25.5" x14ac:dyDescent="0.2">
      <c r="A215" s="179"/>
      <c r="B215" s="240" t="s">
        <v>813</v>
      </c>
      <c r="C215" s="238">
        <f t="shared" ref="C215:C222" si="45">SUM(D215:DA215)</f>
        <v>285831.57</v>
      </c>
      <c r="D215" s="198"/>
      <c r="E215" s="198"/>
      <c r="F215" s="198"/>
      <c r="G215" s="198"/>
      <c r="H215" s="198">
        <v>264585.78999999998</v>
      </c>
      <c r="I215" s="198"/>
      <c r="J215" s="198"/>
      <c r="K215" s="198"/>
      <c r="L215" s="198"/>
      <c r="M215" s="198"/>
      <c r="N215" s="198"/>
      <c r="O215" s="198"/>
      <c r="P215" s="198">
        <v>20306</v>
      </c>
      <c r="Q215" s="198"/>
      <c r="R215" s="198"/>
      <c r="S215" s="198"/>
      <c r="T215" s="198"/>
      <c r="U215" s="198"/>
      <c r="V215" s="198"/>
      <c r="W215" s="198"/>
      <c r="X215" s="198"/>
      <c r="Y215" s="198"/>
      <c r="Z215" s="198"/>
      <c r="AA215" s="198"/>
      <c r="AB215" s="198"/>
      <c r="AC215" s="198">
        <v>939.78</v>
      </c>
      <c r="AD215" s="198"/>
      <c r="AE215" s="198"/>
      <c r="AF215" s="198"/>
      <c r="AG215" s="198"/>
    </row>
    <row r="216" spans="1:33" ht="25.5" x14ac:dyDescent="0.2">
      <c r="A216" s="179"/>
      <c r="B216" s="240" t="s">
        <v>814</v>
      </c>
      <c r="C216" s="238">
        <f t="shared" si="45"/>
        <v>659051.60000000009</v>
      </c>
      <c r="D216" s="198"/>
      <c r="E216" s="198"/>
      <c r="F216" s="198"/>
      <c r="G216" s="198"/>
      <c r="H216" s="198">
        <v>621659.54</v>
      </c>
      <c r="I216" s="198"/>
      <c r="J216" s="198"/>
      <c r="K216" s="198"/>
      <c r="L216" s="198"/>
      <c r="M216" s="198"/>
      <c r="N216" s="198"/>
      <c r="O216" s="198"/>
      <c r="P216" s="198">
        <v>35184</v>
      </c>
      <c r="Q216" s="198"/>
      <c r="R216" s="198"/>
      <c r="S216" s="198"/>
      <c r="T216" s="198"/>
      <c r="U216" s="198"/>
      <c r="V216" s="198"/>
      <c r="W216" s="198"/>
      <c r="X216" s="198"/>
      <c r="Y216" s="198"/>
      <c r="Z216" s="198"/>
      <c r="AA216" s="198"/>
      <c r="AB216" s="198"/>
      <c r="AC216" s="198">
        <v>2208.06</v>
      </c>
      <c r="AD216" s="198"/>
      <c r="AE216" s="198"/>
      <c r="AF216" s="198"/>
      <c r="AG216" s="198"/>
    </row>
    <row r="217" spans="1:33" ht="38.25" x14ac:dyDescent="0.2">
      <c r="A217" s="179"/>
      <c r="B217" s="240" t="s">
        <v>815</v>
      </c>
      <c r="C217" s="238">
        <f t="shared" si="45"/>
        <v>70465.599999999991</v>
      </c>
      <c r="D217" s="198"/>
      <c r="E217" s="198"/>
      <c r="F217" s="198"/>
      <c r="G217" s="198"/>
      <c r="H217" s="198">
        <v>58536.68</v>
      </c>
      <c r="I217" s="198"/>
      <c r="J217" s="198"/>
      <c r="K217" s="198"/>
      <c r="L217" s="198"/>
      <c r="M217" s="198"/>
      <c r="N217" s="198"/>
      <c r="O217" s="198"/>
      <c r="P217" s="198">
        <v>11721</v>
      </c>
      <c r="Q217" s="198"/>
      <c r="R217" s="198"/>
      <c r="S217" s="198"/>
      <c r="T217" s="198"/>
      <c r="U217" s="198"/>
      <c r="V217" s="198"/>
      <c r="W217" s="198"/>
      <c r="X217" s="198"/>
      <c r="Y217" s="198"/>
      <c r="Z217" s="198"/>
      <c r="AA217" s="198"/>
      <c r="AB217" s="198"/>
      <c r="AC217" s="198">
        <v>207.92</v>
      </c>
      <c r="AD217" s="198"/>
      <c r="AE217" s="198"/>
      <c r="AF217" s="198"/>
      <c r="AG217" s="198"/>
    </row>
    <row r="218" spans="1:33" ht="25.5" x14ac:dyDescent="0.2">
      <c r="A218" s="179"/>
      <c r="B218" s="241" t="s">
        <v>816</v>
      </c>
      <c r="C218" s="238" t="s">
        <v>584</v>
      </c>
      <c r="D218" s="198"/>
      <c r="E218" s="198"/>
      <c r="F218" s="198"/>
      <c r="G218" s="198"/>
      <c r="H218" s="198"/>
      <c r="I218" s="198"/>
      <c r="J218" s="198"/>
      <c r="K218" s="198"/>
      <c r="L218" s="198"/>
      <c r="M218" s="198"/>
      <c r="N218" s="198"/>
      <c r="O218" s="198"/>
      <c r="P218" s="198"/>
      <c r="Q218" s="198"/>
      <c r="R218" s="198"/>
      <c r="S218" s="198"/>
      <c r="T218" s="198"/>
      <c r="U218" s="198"/>
      <c r="V218" s="198"/>
      <c r="W218" s="198"/>
      <c r="X218" s="198"/>
      <c r="Y218" s="198"/>
      <c r="Z218" s="198"/>
      <c r="AA218" s="198"/>
      <c r="AB218" s="198"/>
      <c r="AC218" s="198"/>
      <c r="AD218" s="198"/>
      <c r="AE218" s="198"/>
      <c r="AF218" s="198"/>
      <c r="AG218" s="198"/>
    </row>
    <row r="219" spans="1:33" ht="51" x14ac:dyDescent="0.2">
      <c r="A219" s="179"/>
      <c r="B219" s="240" t="s">
        <v>817</v>
      </c>
      <c r="C219" s="238">
        <f t="shared" si="45"/>
        <v>1636766.23</v>
      </c>
      <c r="D219" s="198"/>
      <c r="E219" s="198"/>
      <c r="F219" s="198"/>
      <c r="G219" s="198"/>
      <c r="H219" s="198">
        <v>1557075.69</v>
      </c>
      <c r="I219" s="198"/>
      <c r="J219" s="198"/>
      <c r="K219" s="198"/>
      <c r="L219" s="198"/>
      <c r="M219" s="198"/>
      <c r="N219" s="198"/>
      <c r="O219" s="198"/>
      <c r="P219" s="198">
        <v>74160</v>
      </c>
      <c r="Q219" s="198"/>
      <c r="R219" s="198"/>
      <c r="S219" s="198"/>
      <c r="T219" s="198"/>
      <c r="U219" s="198"/>
      <c r="V219" s="198"/>
      <c r="W219" s="198"/>
      <c r="X219" s="198"/>
      <c r="Y219" s="198"/>
      <c r="Z219" s="198"/>
      <c r="AA219" s="198"/>
      <c r="AB219" s="198"/>
      <c r="AC219" s="198">
        <v>5530.54</v>
      </c>
      <c r="AD219" s="198"/>
      <c r="AE219" s="198"/>
      <c r="AF219" s="198"/>
      <c r="AG219" s="198"/>
    </row>
    <row r="220" spans="1:33" ht="25.5" x14ac:dyDescent="0.2">
      <c r="A220" s="179"/>
      <c r="B220" s="175" t="s">
        <v>818</v>
      </c>
      <c r="C220" s="238">
        <f t="shared" si="45"/>
        <v>1662298.4</v>
      </c>
      <c r="D220" s="198"/>
      <c r="E220" s="198"/>
      <c r="F220" s="198"/>
      <c r="G220" s="198"/>
      <c r="H220" s="198">
        <v>1162538.46</v>
      </c>
      <c r="I220" s="198"/>
      <c r="J220" s="198"/>
      <c r="K220" s="198"/>
      <c r="L220" s="198"/>
      <c r="M220" s="198"/>
      <c r="N220" s="198"/>
      <c r="O220" s="198"/>
      <c r="P220" s="198">
        <v>57721</v>
      </c>
      <c r="Q220" s="198"/>
      <c r="R220" s="198"/>
      <c r="S220" s="198"/>
      <c r="T220" s="198"/>
      <c r="U220" s="198"/>
      <c r="V220" s="198"/>
      <c r="W220" s="198"/>
      <c r="X220" s="198"/>
      <c r="Y220" s="198"/>
      <c r="Z220" s="198"/>
      <c r="AA220" s="198">
        <v>437909.75</v>
      </c>
      <c r="AB220" s="198"/>
      <c r="AC220" s="198">
        <v>4129.1899999999996</v>
      </c>
      <c r="AD220" s="198"/>
      <c r="AE220" s="198"/>
      <c r="AF220" s="198"/>
      <c r="AG220" s="198"/>
    </row>
    <row r="221" spans="1:33" ht="38.25" x14ac:dyDescent="0.2">
      <c r="A221" s="179"/>
      <c r="B221" s="175" t="s">
        <v>819</v>
      </c>
      <c r="C221" s="238">
        <f t="shared" si="45"/>
        <v>4454883.2699999996</v>
      </c>
      <c r="D221" s="198"/>
      <c r="E221" s="198"/>
      <c r="F221" s="198"/>
      <c r="G221" s="198"/>
      <c r="H221" s="198">
        <v>4253275.17</v>
      </c>
      <c r="I221" s="198"/>
      <c r="J221" s="198"/>
      <c r="K221" s="198"/>
      <c r="L221" s="198"/>
      <c r="M221" s="198"/>
      <c r="N221" s="198"/>
      <c r="O221" s="198"/>
      <c r="P221" s="198">
        <v>186501</v>
      </c>
      <c r="Q221" s="198"/>
      <c r="R221" s="198"/>
      <c r="S221" s="198"/>
      <c r="T221" s="198"/>
      <c r="U221" s="198"/>
      <c r="V221" s="198"/>
      <c r="W221" s="198"/>
      <c r="X221" s="198"/>
      <c r="Y221" s="198"/>
      <c r="Z221" s="198"/>
      <c r="AA221" s="198" t="s">
        <v>584</v>
      </c>
      <c r="AB221" s="198"/>
      <c r="AC221" s="198">
        <v>15107.1</v>
      </c>
      <c r="AD221" s="198"/>
      <c r="AE221" s="198"/>
      <c r="AF221" s="198"/>
      <c r="AG221" s="198"/>
    </row>
    <row r="222" spans="1:33" ht="38.25" x14ac:dyDescent="0.2">
      <c r="A222" s="179"/>
      <c r="B222" s="175" t="s">
        <v>820</v>
      </c>
      <c r="C222" s="238">
        <f t="shared" si="45"/>
        <v>315199.98000000004</v>
      </c>
      <c r="D222" s="198"/>
      <c r="E222" s="198"/>
      <c r="F222" s="198"/>
      <c r="G222" s="198"/>
      <c r="H222" s="198">
        <v>292683.40000000002</v>
      </c>
      <c r="I222" s="198"/>
      <c r="J222" s="198"/>
      <c r="K222" s="198"/>
      <c r="L222" s="198"/>
      <c r="M222" s="198"/>
      <c r="N222" s="198"/>
      <c r="O222" s="198"/>
      <c r="P222" s="198">
        <v>21477</v>
      </c>
      <c r="Q222" s="198"/>
      <c r="R222" s="198"/>
      <c r="S222" s="198"/>
      <c r="T222" s="198"/>
      <c r="U222" s="198"/>
      <c r="V222" s="198"/>
      <c r="W222" s="198"/>
      <c r="X222" s="198"/>
      <c r="Y222" s="198"/>
      <c r="Z222" s="198"/>
      <c r="AA222" s="198"/>
      <c r="AB222" s="198"/>
      <c r="AC222" s="198">
        <v>1039.58</v>
      </c>
      <c r="AD222" s="198"/>
      <c r="AE222" s="198"/>
      <c r="AF222" s="198"/>
      <c r="AG222" s="198"/>
    </row>
    <row r="223" spans="1:33" ht="38.25" x14ac:dyDescent="0.2">
      <c r="A223" s="179"/>
      <c r="B223" s="12" t="s">
        <v>956</v>
      </c>
      <c r="C223" s="238"/>
      <c r="D223" s="198"/>
      <c r="E223" s="198"/>
      <c r="F223" s="198"/>
      <c r="G223" s="198"/>
      <c r="H223" s="198"/>
      <c r="I223" s="198"/>
      <c r="J223" s="198"/>
      <c r="K223" s="198"/>
      <c r="L223" s="198"/>
      <c r="M223" s="198"/>
      <c r="N223" s="198"/>
      <c r="O223" s="198"/>
      <c r="P223" s="198"/>
      <c r="Q223" s="198"/>
      <c r="R223" s="198"/>
      <c r="S223" s="198"/>
      <c r="T223" s="198"/>
      <c r="U223" s="198"/>
      <c r="V223" s="198"/>
      <c r="W223" s="198"/>
      <c r="X223" s="198"/>
      <c r="Y223" s="198"/>
      <c r="Z223" s="198"/>
      <c r="AA223" s="198"/>
      <c r="AB223" s="198"/>
      <c r="AC223" s="198"/>
      <c r="AD223" s="198"/>
      <c r="AE223" s="198"/>
      <c r="AF223" s="198"/>
      <c r="AG223" s="198"/>
    </row>
    <row r="224" spans="1:33" ht="51" x14ac:dyDescent="0.2">
      <c r="A224" s="179"/>
      <c r="B224" s="241" t="s">
        <v>821</v>
      </c>
      <c r="C224" s="238" t="s">
        <v>584</v>
      </c>
      <c r="D224" s="198"/>
      <c r="E224" s="198"/>
      <c r="F224" s="198"/>
      <c r="G224" s="198"/>
      <c r="H224" s="198"/>
      <c r="I224" s="198"/>
      <c r="J224" s="198"/>
      <c r="K224" s="198"/>
      <c r="L224" s="198"/>
      <c r="M224" s="198"/>
      <c r="N224" s="198"/>
      <c r="O224" s="198"/>
      <c r="P224" s="198"/>
      <c r="Q224" s="198"/>
      <c r="R224" s="198"/>
      <c r="S224" s="198"/>
      <c r="T224" s="198"/>
      <c r="U224" s="198"/>
      <c r="V224" s="198"/>
      <c r="W224" s="198"/>
      <c r="X224" s="198"/>
      <c r="Y224" s="198"/>
      <c r="Z224" s="198"/>
      <c r="AA224" s="198"/>
      <c r="AB224" s="198"/>
      <c r="AC224" s="198"/>
      <c r="AD224" s="198"/>
      <c r="AE224" s="198"/>
      <c r="AF224" s="198"/>
      <c r="AG224" s="198"/>
    </row>
    <row r="225" spans="1:33" ht="38.25" x14ac:dyDescent="0.2">
      <c r="A225" s="179"/>
      <c r="B225" s="240" t="s">
        <v>822</v>
      </c>
      <c r="C225" s="238">
        <f t="shared" ref="C225:C237" si="46">SUM(D225:DA225)</f>
        <v>7016954.96</v>
      </c>
      <c r="D225" s="198"/>
      <c r="E225" s="198"/>
      <c r="F225" s="198"/>
      <c r="G225" s="198"/>
      <c r="H225" s="198">
        <v>526762.96</v>
      </c>
      <c r="I225" s="198"/>
      <c r="J225" s="198"/>
      <c r="K225" s="198"/>
      <c r="L225" s="198"/>
      <c r="M225" s="198"/>
      <c r="N225" s="198"/>
      <c r="O225" s="198"/>
      <c r="P225" s="198">
        <v>6490192</v>
      </c>
      <c r="Q225" s="198"/>
      <c r="R225" s="198"/>
      <c r="S225" s="198"/>
      <c r="T225" s="198"/>
      <c r="U225" s="198"/>
      <c r="V225" s="198"/>
      <c r="W225" s="198"/>
      <c r="X225" s="198"/>
      <c r="Y225" s="198"/>
      <c r="Z225" s="198"/>
      <c r="AA225" s="198"/>
      <c r="AB225" s="198"/>
      <c r="AC225" s="198"/>
      <c r="AD225" s="198"/>
      <c r="AE225" s="198"/>
      <c r="AF225" s="198"/>
      <c r="AG225" s="198"/>
    </row>
    <row r="226" spans="1:33" ht="25.5" x14ac:dyDescent="0.2">
      <c r="A226" s="179"/>
      <c r="B226" s="240" t="s">
        <v>957</v>
      </c>
      <c r="C226" s="238">
        <f t="shared" si="46"/>
        <v>2425720.4</v>
      </c>
      <c r="D226" s="198"/>
      <c r="E226" s="198"/>
      <c r="F226" s="198"/>
      <c r="G226" s="198"/>
      <c r="H226" s="198">
        <v>181642.4</v>
      </c>
      <c r="I226" s="198"/>
      <c r="J226" s="198"/>
      <c r="K226" s="198"/>
      <c r="L226" s="198"/>
      <c r="M226" s="198"/>
      <c r="N226" s="198"/>
      <c r="O226" s="198"/>
      <c r="P226" s="198">
        <v>2244078</v>
      </c>
      <c r="Q226" s="198"/>
      <c r="R226" s="198"/>
      <c r="S226" s="198"/>
      <c r="T226" s="198"/>
      <c r="U226" s="198"/>
      <c r="V226" s="198"/>
      <c r="W226" s="198"/>
      <c r="X226" s="198"/>
      <c r="Y226" s="198"/>
      <c r="Z226" s="198"/>
      <c r="AA226" s="198"/>
      <c r="AB226" s="198"/>
      <c r="AC226" s="198"/>
      <c r="AD226" s="198"/>
      <c r="AE226" s="198"/>
      <c r="AF226" s="198"/>
      <c r="AG226" s="198"/>
    </row>
    <row r="227" spans="1:33" ht="25.5" x14ac:dyDescent="0.2">
      <c r="A227" s="179"/>
      <c r="B227" s="240" t="s">
        <v>823</v>
      </c>
      <c r="C227" s="238">
        <f t="shared" si="46"/>
        <v>1217501.2</v>
      </c>
      <c r="D227" s="198"/>
      <c r="E227" s="198"/>
      <c r="F227" s="198"/>
      <c r="G227" s="198"/>
      <c r="H227" s="198">
        <v>90821.2</v>
      </c>
      <c r="I227" s="198"/>
      <c r="J227" s="198"/>
      <c r="K227" s="198"/>
      <c r="L227" s="198"/>
      <c r="M227" s="198"/>
      <c r="N227" s="198"/>
      <c r="O227" s="198"/>
      <c r="P227" s="198">
        <v>1126680</v>
      </c>
      <c r="Q227" s="198"/>
      <c r="R227" s="198"/>
      <c r="S227" s="198"/>
      <c r="T227" s="198"/>
      <c r="U227" s="198"/>
      <c r="V227" s="198"/>
      <c r="W227" s="198"/>
      <c r="X227" s="198"/>
      <c r="Y227" s="198"/>
      <c r="Z227" s="198"/>
      <c r="AA227" s="198"/>
      <c r="AB227" s="198"/>
      <c r="AC227" s="198"/>
      <c r="AD227" s="198"/>
      <c r="AE227" s="198"/>
      <c r="AF227" s="198"/>
      <c r="AG227" s="198"/>
    </row>
    <row r="228" spans="1:33" ht="51" x14ac:dyDescent="0.2">
      <c r="A228" s="179"/>
      <c r="B228" s="240" t="s">
        <v>824</v>
      </c>
      <c r="C228" s="238">
        <f t="shared" si="46"/>
        <v>1217501.2</v>
      </c>
      <c r="D228" s="198"/>
      <c r="E228" s="198"/>
      <c r="F228" s="198"/>
      <c r="G228" s="198"/>
      <c r="H228" s="198">
        <v>90821.2</v>
      </c>
      <c r="I228" s="198"/>
      <c r="J228" s="198"/>
      <c r="K228" s="198"/>
      <c r="L228" s="198"/>
      <c r="M228" s="198"/>
      <c r="N228" s="198"/>
      <c r="O228" s="198"/>
      <c r="P228" s="198">
        <v>1126680</v>
      </c>
      <c r="Q228" s="198"/>
      <c r="R228" s="198"/>
      <c r="S228" s="198"/>
      <c r="T228" s="198"/>
      <c r="U228" s="198"/>
      <c r="V228" s="198"/>
      <c r="W228" s="198"/>
      <c r="X228" s="198"/>
      <c r="Y228" s="198"/>
      <c r="Z228" s="198"/>
      <c r="AA228" s="198"/>
      <c r="AB228" s="198"/>
      <c r="AC228" s="198"/>
      <c r="AD228" s="198"/>
      <c r="AE228" s="198"/>
      <c r="AF228" s="198"/>
      <c r="AG228" s="198"/>
    </row>
    <row r="229" spans="1:33" ht="25.5" x14ac:dyDescent="0.2">
      <c r="A229" s="179"/>
      <c r="B229" s="175" t="s">
        <v>1188</v>
      </c>
      <c r="C229" s="238">
        <f t="shared" si="46"/>
        <v>451767.24</v>
      </c>
      <c r="D229" s="198"/>
      <c r="E229" s="198"/>
      <c r="F229" s="198"/>
      <c r="G229" s="198"/>
      <c r="H229" s="198">
        <v>18164.240000000002</v>
      </c>
      <c r="I229" s="198"/>
      <c r="J229" s="198"/>
      <c r="K229" s="198"/>
      <c r="L229" s="198"/>
      <c r="M229" s="198"/>
      <c r="N229" s="198"/>
      <c r="O229" s="198"/>
      <c r="P229" s="198">
        <v>232761</v>
      </c>
      <c r="Q229" s="198"/>
      <c r="R229" s="198"/>
      <c r="S229" s="198"/>
      <c r="T229" s="198"/>
      <c r="U229" s="198"/>
      <c r="V229" s="198"/>
      <c r="W229" s="198">
        <v>140842</v>
      </c>
      <c r="X229" s="198">
        <v>50000</v>
      </c>
      <c r="Y229" s="198"/>
      <c r="Z229" s="198"/>
      <c r="AA229" s="198"/>
      <c r="AB229" s="198">
        <v>10000</v>
      </c>
      <c r="AC229" s="198"/>
      <c r="AD229" s="198"/>
      <c r="AE229" s="198"/>
      <c r="AF229" s="198"/>
      <c r="AG229" s="198"/>
    </row>
    <row r="230" spans="1:33" ht="25.5" x14ac:dyDescent="0.2">
      <c r="A230" s="179"/>
      <c r="B230" s="241" t="s">
        <v>1189</v>
      </c>
      <c r="C230" s="238" t="s">
        <v>584</v>
      </c>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c r="AA230" s="198"/>
      <c r="AB230" s="198"/>
      <c r="AC230" s="198"/>
      <c r="AD230" s="198"/>
      <c r="AE230" s="198"/>
      <c r="AF230" s="198"/>
      <c r="AG230" s="198"/>
    </row>
    <row r="231" spans="1:33" ht="38.25" x14ac:dyDescent="0.2">
      <c r="A231" s="179"/>
      <c r="B231" s="240" t="s">
        <v>826</v>
      </c>
      <c r="C231" s="238">
        <f t="shared" si="46"/>
        <v>236117</v>
      </c>
      <c r="D231" s="198"/>
      <c r="E231" s="198"/>
      <c r="F231" s="198"/>
      <c r="G231" s="198"/>
      <c r="H231" s="198"/>
      <c r="I231" s="198"/>
      <c r="J231" s="198"/>
      <c r="K231" s="198"/>
      <c r="L231" s="198"/>
      <c r="M231" s="198"/>
      <c r="N231" s="198"/>
      <c r="O231" s="198"/>
      <c r="P231" s="198">
        <v>236117</v>
      </c>
      <c r="Q231" s="198"/>
      <c r="R231" s="198"/>
      <c r="S231" s="198"/>
      <c r="T231" s="198"/>
      <c r="U231" s="198"/>
      <c r="V231" s="198"/>
      <c r="W231" s="198"/>
      <c r="X231" s="198"/>
      <c r="Y231" s="198"/>
      <c r="Z231" s="198"/>
      <c r="AA231" s="198"/>
      <c r="AB231" s="198"/>
      <c r="AC231" s="198"/>
      <c r="AD231" s="198"/>
      <c r="AE231" s="198"/>
      <c r="AF231" s="198"/>
      <c r="AG231" s="198"/>
    </row>
    <row r="232" spans="1:33" ht="51" x14ac:dyDescent="0.2">
      <c r="A232" s="179"/>
      <c r="B232" s="240" t="s">
        <v>958</v>
      </c>
      <c r="C232" s="238">
        <f t="shared" si="46"/>
        <v>462953</v>
      </c>
      <c r="D232" s="198"/>
      <c r="E232" s="198"/>
      <c r="F232" s="198"/>
      <c r="G232" s="198"/>
      <c r="H232" s="198"/>
      <c r="I232" s="198"/>
      <c r="J232" s="198"/>
      <c r="K232" s="198"/>
      <c r="L232" s="198"/>
      <c r="M232" s="198"/>
      <c r="N232" s="198"/>
      <c r="O232" s="198"/>
      <c r="P232" s="198">
        <v>462953</v>
      </c>
      <c r="Q232" s="198"/>
      <c r="R232" s="198"/>
      <c r="S232" s="198"/>
      <c r="T232" s="198"/>
      <c r="U232" s="198"/>
      <c r="V232" s="198"/>
      <c r="W232" s="198"/>
      <c r="X232" s="198"/>
      <c r="Y232" s="198"/>
      <c r="Z232" s="198"/>
      <c r="AA232" s="198"/>
      <c r="AB232" s="198"/>
      <c r="AC232" s="198"/>
      <c r="AD232" s="198"/>
      <c r="AE232" s="198"/>
      <c r="AF232" s="198"/>
      <c r="AG232" s="198"/>
    </row>
    <row r="233" spans="1:33" ht="38.25" x14ac:dyDescent="0.2">
      <c r="A233" s="179"/>
      <c r="B233" s="240" t="s">
        <v>1190</v>
      </c>
      <c r="C233" s="238">
        <f t="shared" si="46"/>
        <v>236117</v>
      </c>
      <c r="D233" s="198"/>
      <c r="E233" s="198"/>
      <c r="F233" s="198"/>
      <c r="G233" s="198"/>
      <c r="H233" s="198"/>
      <c r="I233" s="198"/>
      <c r="J233" s="198"/>
      <c r="K233" s="198"/>
      <c r="L233" s="198"/>
      <c r="M233" s="198"/>
      <c r="N233" s="198"/>
      <c r="O233" s="198"/>
      <c r="P233" s="198">
        <v>236117</v>
      </c>
      <c r="Q233" s="198"/>
      <c r="R233" s="198"/>
      <c r="S233" s="198"/>
      <c r="T233" s="198"/>
      <c r="U233" s="198"/>
      <c r="V233" s="198"/>
      <c r="W233" s="198"/>
      <c r="X233" s="198"/>
      <c r="Y233" s="198"/>
      <c r="Z233" s="198"/>
      <c r="AA233" s="198"/>
      <c r="AB233" s="198"/>
      <c r="AC233" s="198"/>
      <c r="AD233" s="198"/>
      <c r="AE233" s="198"/>
      <c r="AF233" s="198"/>
      <c r="AG233" s="198"/>
    </row>
    <row r="234" spans="1:33" ht="51" x14ac:dyDescent="0.2">
      <c r="A234" s="179"/>
      <c r="B234" s="241" t="s">
        <v>1191</v>
      </c>
      <c r="C234" s="238" t="s">
        <v>584</v>
      </c>
      <c r="D234" s="198"/>
      <c r="E234" s="198"/>
      <c r="F234" s="198"/>
      <c r="G234" s="198"/>
      <c r="H234" s="198"/>
      <c r="I234" s="198"/>
      <c r="J234" s="198"/>
      <c r="K234" s="198"/>
      <c r="L234" s="198"/>
      <c r="M234" s="198"/>
      <c r="N234" s="198"/>
      <c r="O234" s="198"/>
      <c r="P234" s="198"/>
      <c r="Q234" s="198"/>
      <c r="R234" s="198"/>
      <c r="S234" s="198"/>
      <c r="T234" s="198"/>
      <c r="U234" s="198"/>
      <c r="V234" s="198"/>
      <c r="W234" s="198"/>
      <c r="X234" s="198"/>
      <c r="Y234" s="198"/>
      <c r="Z234" s="198"/>
      <c r="AA234" s="198"/>
      <c r="AB234" s="198"/>
      <c r="AC234" s="198"/>
      <c r="AD234" s="198"/>
      <c r="AE234" s="198"/>
      <c r="AF234" s="198"/>
      <c r="AG234" s="198"/>
    </row>
    <row r="235" spans="1:33" ht="25.5" x14ac:dyDescent="0.2">
      <c r="A235" s="179"/>
      <c r="B235" s="240" t="s">
        <v>828</v>
      </c>
      <c r="C235" s="238">
        <f t="shared" si="46"/>
        <v>462953</v>
      </c>
      <c r="D235" s="198"/>
      <c r="E235" s="198"/>
      <c r="F235" s="198"/>
      <c r="G235" s="198"/>
      <c r="H235" s="198"/>
      <c r="I235" s="198"/>
      <c r="J235" s="198"/>
      <c r="K235" s="198"/>
      <c r="L235" s="198"/>
      <c r="M235" s="198"/>
      <c r="N235" s="198"/>
      <c r="O235" s="198"/>
      <c r="P235" s="198">
        <v>462953</v>
      </c>
      <c r="Q235" s="198"/>
      <c r="R235" s="198"/>
      <c r="S235" s="198"/>
      <c r="T235" s="198"/>
      <c r="U235" s="198"/>
      <c r="V235" s="198"/>
      <c r="W235" s="198"/>
      <c r="X235" s="198"/>
      <c r="Y235" s="198"/>
      <c r="Z235" s="198"/>
      <c r="AA235" s="198"/>
      <c r="AB235" s="198"/>
      <c r="AC235" s="198"/>
      <c r="AD235" s="198"/>
      <c r="AE235" s="198"/>
      <c r="AF235" s="198"/>
      <c r="AG235" s="198"/>
    </row>
    <row r="236" spans="1:33" ht="25.5" x14ac:dyDescent="0.2">
      <c r="A236" s="179"/>
      <c r="B236" s="240" t="s">
        <v>829</v>
      </c>
      <c r="C236" s="238">
        <f t="shared" si="46"/>
        <v>2277637</v>
      </c>
      <c r="D236" s="198"/>
      <c r="E236" s="198"/>
      <c r="F236" s="198"/>
      <c r="G236" s="198"/>
      <c r="H236" s="198"/>
      <c r="I236" s="198"/>
      <c r="J236" s="198"/>
      <c r="K236" s="198"/>
      <c r="L236" s="198"/>
      <c r="M236" s="198"/>
      <c r="N236" s="198"/>
      <c r="O236" s="198"/>
      <c r="P236" s="198">
        <v>2277637</v>
      </c>
      <c r="Q236" s="198"/>
      <c r="R236" s="198"/>
      <c r="S236" s="198"/>
      <c r="T236" s="198"/>
      <c r="U236" s="198"/>
      <c r="V236" s="198"/>
      <c r="W236" s="198"/>
      <c r="X236" s="198"/>
      <c r="Y236" s="198"/>
      <c r="Z236" s="198"/>
      <c r="AA236" s="198"/>
      <c r="AB236" s="198"/>
      <c r="AC236" s="198"/>
      <c r="AD236" s="198"/>
      <c r="AE236" s="198"/>
      <c r="AF236" s="198"/>
      <c r="AG236" s="198"/>
    </row>
    <row r="237" spans="1:33" ht="38.25" x14ac:dyDescent="0.2">
      <c r="A237" s="179"/>
      <c r="B237" s="240" t="s">
        <v>1178</v>
      </c>
      <c r="C237" s="238">
        <f t="shared" si="46"/>
        <v>236117</v>
      </c>
      <c r="D237" s="198"/>
      <c r="E237" s="198"/>
      <c r="F237" s="198"/>
      <c r="G237" s="198"/>
      <c r="H237" s="198"/>
      <c r="I237" s="198"/>
      <c r="J237" s="198"/>
      <c r="K237" s="198"/>
      <c r="L237" s="198"/>
      <c r="M237" s="198"/>
      <c r="N237" s="198"/>
      <c r="O237" s="198"/>
      <c r="P237" s="198">
        <v>236117</v>
      </c>
      <c r="Q237" s="198"/>
      <c r="R237" s="198"/>
      <c r="S237" s="198"/>
      <c r="T237" s="198"/>
      <c r="U237" s="198"/>
      <c r="V237" s="198"/>
      <c r="W237" s="198"/>
      <c r="X237" s="198"/>
      <c r="Y237" s="198"/>
      <c r="Z237" s="198"/>
      <c r="AA237" s="198"/>
      <c r="AB237" s="198"/>
      <c r="AC237" s="198"/>
      <c r="AD237" s="198"/>
      <c r="AE237" s="198"/>
      <c r="AF237" s="198"/>
      <c r="AG237" s="198"/>
    </row>
    <row r="238" spans="1:33" ht="25.5" x14ac:dyDescent="0.2">
      <c r="A238" s="179"/>
      <c r="B238" s="12" t="s">
        <v>830</v>
      </c>
      <c r="C238" s="238"/>
      <c r="D238" s="198"/>
      <c r="E238" s="198"/>
      <c r="F238" s="198"/>
      <c r="G238" s="198"/>
      <c r="H238" s="198"/>
      <c r="I238" s="198"/>
      <c r="J238" s="198"/>
      <c r="K238" s="198"/>
      <c r="L238" s="198"/>
      <c r="M238" s="198"/>
      <c r="N238" s="198"/>
      <c r="O238" s="198"/>
      <c r="P238" s="198"/>
      <c r="Q238" s="198"/>
      <c r="R238" s="198"/>
      <c r="S238" s="198"/>
      <c r="T238" s="198"/>
      <c r="U238" s="198"/>
      <c r="V238" s="198"/>
      <c r="W238" s="198"/>
      <c r="X238" s="198"/>
      <c r="Y238" s="198"/>
      <c r="Z238" s="198"/>
      <c r="AA238" s="198"/>
      <c r="AB238" s="198"/>
      <c r="AC238" s="198"/>
      <c r="AD238" s="198"/>
      <c r="AE238" s="198"/>
      <c r="AF238" s="198"/>
      <c r="AG238" s="198"/>
    </row>
    <row r="239" spans="1:33" ht="25.5" x14ac:dyDescent="0.2">
      <c r="A239" s="179"/>
      <c r="B239" s="241" t="s">
        <v>831</v>
      </c>
      <c r="C239" s="238"/>
      <c r="D239" s="198"/>
      <c r="E239" s="198"/>
      <c r="F239" s="198"/>
      <c r="G239" s="198"/>
      <c r="H239" s="198"/>
      <c r="I239" s="198"/>
      <c r="J239" s="198"/>
      <c r="K239" s="198"/>
      <c r="L239" s="198"/>
      <c r="M239" s="198"/>
      <c r="N239" s="198"/>
      <c r="O239" s="198"/>
      <c r="P239" s="198"/>
      <c r="Q239" s="198"/>
      <c r="R239" s="198"/>
      <c r="S239" s="198"/>
      <c r="T239" s="198"/>
      <c r="U239" s="198"/>
      <c r="V239" s="198"/>
      <c r="W239" s="198"/>
      <c r="X239" s="198"/>
      <c r="Y239" s="198"/>
      <c r="Z239" s="198"/>
      <c r="AA239" s="198"/>
      <c r="AB239" s="198"/>
      <c r="AC239" s="198"/>
      <c r="AD239" s="198"/>
      <c r="AE239" s="198"/>
      <c r="AF239" s="198"/>
      <c r="AG239" s="198"/>
    </row>
    <row r="240" spans="1:33" ht="25.5" x14ac:dyDescent="0.2">
      <c r="A240" s="179"/>
      <c r="B240" s="240" t="s">
        <v>1179</v>
      </c>
      <c r="C240" s="238">
        <f t="shared" ref="C240:C246" si="47">SUM(D240:DA240)</f>
        <v>262857.45</v>
      </c>
      <c r="D240" s="198">
        <f>61730.45+5000+4100</f>
        <v>70830.45</v>
      </c>
      <c r="E240" s="198"/>
      <c r="F240" s="198"/>
      <c r="G240" s="198"/>
      <c r="H240" s="198"/>
      <c r="I240" s="198"/>
      <c r="J240" s="198"/>
      <c r="K240" s="198"/>
      <c r="L240" s="198"/>
      <c r="M240" s="198"/>
      <c r="N240" s="198"/>
      <c r="O240" s="198"/>
      <c r="P240" s="198">
        <v>45782</v>
      </c>
      <c r="Q240" s="198"/>
      <c r="R240" s="198"/>
      <c r="S240" s="198"/>
      <c r="T240" s="198"/>
      <c r="U240" s="198"/>
      <c r="V240" s="198"/>
      <c r="W240" s="198"/>
      <c r="X240" s="198"/>
      <c r="Y240" s="198"/>
      <c r="Z240" s="198"/>
      <c r="AA240" s="198"/>
      <c r="AB240" s="198"/>
      <c r="AC240" s="198"/>
      <c r="AD240" s="198">
        <v>39410</v>
      </c>
      <c r="AE240" s="198">
        <v>102735</v>
      </c>
      <c r="AF240" s="198">
        <v>4100</v>
      </c>
      <c r="AG240" s="198"/>
    </row>
    <row r="241" spans="1:33" x14ac:dyDescent="0.2">
      <c r="A241" s="179"/>
      <c r="B241" s="240" t="s">
        <v>1180</v>
      </c>
      <c r="C241" s="238">
        <f t="shared" si="47"/>
        <v>161427.26999999999</v>
      </c>
      <c r="D241" s="198">
        <f>37038.27+3000+2460</f>
        <v>42498.27</v>
      </c>
      <c r="E241" s="198"/>
      <c r="F241" s="198"/>
      <c r="G241" s="198"/>
      <c r="H241" s="198"/>
      <c r="I241" s="198"/>
      <c r="J241" s="198"/>
      <c r="K241" s="198"/>
      <c r="L241" s="198"/>
      <c r="M241" s="198"/>
      <c r="N241" s="198"/>
      <c r="O241" s="198"/>
      <c r="P241" s="198">
        <v>31182</v>
      </c>
      <c r="Q241" s="198"/>
      <c r="R241" s="198"/>
      <c r="S241" s="198"/>
      <c r="T241" s="198"/>
      <c r="U241" s="198"/>
      <c r="V241" s="198"/>
      <c r="W241" s="198"/>
      <c r="X241" s="198"/>
      <c r="Y241" s="198"/>
      <c r="Z241" s="198"/>
      <c r="AA241" s="198"/>
      <c r="AB241" s="198"/>
      <c r="AC241" s="198"/>
      <c r="AD241" s="198">
        <v>23646</v>
      </c>
      <c r="AE241" s="198">
        <v>61641</v>
      </c>
      <c r="AF241" s="198">
        <v>2460</v>
      </c>
      <c r="AG241" s="198"/>
    </row>
    <row r="242" spans="1:33" ht="25.5" x14ac:dyDescent="0.2">
      <c r="A242" s="179"/>
      <c r="B242" s="240" t="s">
        <v>1181</v>
      </c>
      <c r="C242" s="238">
        <f t="shared" si="47"/>
        <v>110712.18</v>
      </c>
      <c r="D242" s="198">
        <f>24692.18+2000+1640</f>
        <v>28332.18</v>
      </c>
      <c r="E242" s="198"/>
      <c r="F242" s="198"/>
      <c r="G242" s="198"/>
      <c r="H242" s="198"/>
      <c r="I242" s="198"/>
      <c r="J242" s="198"/>
      <c r="K242" s="198"/>
      <c r="L242" s="198"/>
      <c r="M242" s="198"/>
      <c r="N242" s="198"/>
      <c r="O242" s="198"/>
      <c r="P242" s="198">
        <v>23882</v>
      </c>
      <c r="Q242" s="198"/>
      <c r="R242" s="198"/>
      <c r="S242" s="198"/>
      <c r="T242" s="198"/>
      <c r="U242" s="198"/>
      <c r="V242" s="198"/>
      <c r="W242" s="198"/>
      <c r="X242" s="198"/>
      <c r="Y242" s="198"/>
      <c r="Z242" s="198"/>
      <c r="AA242" s="198"/>
      <c r="AB242" s="198"/>
      <c r="AC242" s="198"/>
      <c r="AD242" s="198">
        <v>15764</v>
      </c>
      <c r="AE242" s="198">
        <v>41094</v>
      </c>
      <c r="AF242" s="198">
        <v>1640</v>
      </c>
      <c r="AG242" s="198"/>
    </row>
    <row r="243" spans="1:33" ht="25.5" x14ac:dyDescent="0.2">
      <c r="A243" s="179"/>
      <c r="B243" s="241" t="s">
        <v>1192</v>
      </c>
      <c r="C243" s="238" t="s">
        <v>584</v>
      </c>
      <c r="D243" s="198" t="s">
        <v>584</v>
      </c>
      <c r="E243" s="198"/>
      <c r="F243" s="198"/>
      <c r="G243" s="198"/>
      <c r="H243" s="198"/>
      <c r="I243" s="198"/>
      <c r="J243" s="198"/>
      <c r="K243" s="198"/>
      <c r="L243" s="198"/>
      <c r="M243" s="198"/>
      <c r="N243" s="198"/>
      <c r="O243" s="198"/>
      <c r="P243" s="198" t="s">
        <v>584</v>
      </c>
      <c r="Q243" s="198"/>
      <c r="R243" s="198"/>
      <c r="S243" s="198"/>
      <c r="T243" s="198"/>
      <c r="U243" s="198"/>
      <c r="V243" s="198"/>
      <c r="W243" s="198"/>
      <c r="X243" s="198"/>
      <c r="Y243" s="198"/>
      <c r="Z243" s="198"/>
      <c r="AA243" s="198"/>
      <c r="AB243" s="198"/>
      <c r="AC243" s="198"/>
      <c r="AD243" s="198" t="s">
        <v>584</v>
      </c>
      <c r="AE243" s="198" t="s">
        <v>584</v>
      </c>
      <c r="AF243" s="198" t="s">
        <v>584</v>
      </c>
      <c r="AG243" s="198"/>
    </row>
    <row r="244" spans="1:33" ht="25.5" x14ac:dyDescent="0.2">
      <c r="A244" s="179"/>
      <c r="B244" s="240" t="s">
        <v>1182</v>
      </c>
      <c r="C244" s="238">
        <f t="shared" si="47"/>
        <v>1530734.7</v>
      </c>
      <c r="D244" s="198">
        <f>370382.7+30000+24600</f>
        <v>424982.7</v>
      </c>
      <c r="E244" s="198"/>
      <c r="F244" s="198"/>
      <c r="G244" s="198"/>
      <c r="H244" s="198"/>
      <c r="I244" s="198"/>
      <c r="J244" s="198"/>
      <c r="K244" s="198"/>
      <c r="L244" s="198"/>
      <c r="M244" s="198"/>
      <c r="N244" s="198"/>
      <c r="O244" s="198"/>
      <c r="P244" s="198">
        <v>228282</v>
      </c>
      <c r="Q244" s="198"/>
      <c r="R244" s="198"/>
      <c r="S244" s="198"/>
      <c r="T244" s="198"/>
      <c r="U244" s="198"/>
      <c r="V244" s="198"/>
      <c r="W244" s="198"/>
      <c r="X244" s="198"/>
      <c r="Y244" s="198"/>
      <c r="Z244" s="198"/>
      <c r="AA244" s="198"/>
      <c r="AB244" s="198"/>
      <c r="AC244" s="198"/>
      <c r="AD244" s="198">
        <v>236460</v>
      </c>
      <c r="AE244" s="198">
        <v>616410</v>
      </c>
      <c r="AF244" s="198">
        <v>24600</v>
      </c>
      <c r="AG244" s="198"/>
    </row>
    <row r="245" spans="1:33" ht="25.5" x14ac:dyDescent="0.2">
      <c r="A245" s="179"/>
      <c r="B245" s="241" t="s">
        <v>833</v>
      </c>
      <c r="C245" s="238">
        <f t="shared" si="47"/>
        <v>1023583.8</v>
      </c>
      <c r="D245" s="198">
        <f>246921.8+20000+16400</f>
        <v>283321.8</v>
      </c>
      <c r="E245" s="198"/>
      <c r="F245" s="198"/>
      <c r="G245" s="198"/>
      <c r="H245" s="198"/>
      <c r="I245" s="198"/>
      <c r="J245" s="198"/>
      <c r="K245" s="198"/>
      <c r="L245" s="198"/>
      <c r="M245" s="198"/>
      <c r="N245" s="198"/>
      <c r="O245" s="198"/>
      <c r="P245" s="198">
        <v>155282</v>
      </c>
      <c r="Q245" s="198"/>
      <c r="R245" s="198"/>
      <c r="S245" s="198"/>
      <c r="T245" s="198"/>
      <c r="U245" s="198"/>
      <c r="V245" s="198"/>
      <c r="W245" s="198"/>
      <c r="X245" s="198"/>
      <c r="Y245" s="198"/>
      <c r="Z245" s="198"/>
      <c r="AA245" s="198"/>
      <c r="AB245" s="198"/>
      <c r="AC245" s="198"/>
      <c r="AD245" s="198">
        <v>157640</v>
      </c>
      <c r="AE245" s="198">
        <v>410940</v>
      </c>
      <c r="AF245" s="198">
        <v>16400</v>
      </c>
      <c r="AG245" s="198"/>
    </row>
    <row r="246" spans="1:33" ht="25.5" x14ac:dyDescent="0.2">
      <c r="A246" s="179"/>
      <c r="B246" s="240" t="s">
        <v>834</v>
      </c>
      <c r="C246" s="238">
        <f t="shared" si="47"/>
        <v>161427.26999999999</v>
      </c>
      <c r="D246" s="198">
        <f>37038.27+3000+2460</f>
        <v>42498.27</v>
      </c>
      <c r="E246" s="198"/>
      <c r="F246" s="198"/>
      <c r="G246" s="198"/>
      <c r="H246" s="198"/>
      <c r="I246" s="198"/>
      <c r="J246" s="198"/>
      <c r="K246" s="198"/>
      <c r="L246" s="198"/>
      <c r="M246" s="198"/>
      <c r="N246" s="198"/>
      <c r="O246" s="198"/>
      <c r="P246" s="198">
        <v>31182</v>
      </c>
      <c r="Q246" s="198"/>
      <c r="R246" s="198"/>
      <c r="S246" s="198"/>
      <c r="T246" s="198"/>
      <c r="U246" s="198"/>
      <c r="V246" s="198"/>
      <c r="W246" s="198"/>
      <c r="X246" s="198"/>
      <c r="Y246" s="198"/>
      <c r="Z246" s="198"/>
      <c r="AA246" s="198"/>
      <c r="AB246" s="198"/>
      <c r="AC246" s="198"/>
      <c r="AD246" s="198">
        <v>23646</v>
      </c>
      <c r="AE246" s="198">
        <v>61641</v>
      </c>
      <c r="AF246" s="198">
        <v>2460</v>
      </c>
      <c r="AG246" s="198"/>
    </row>
    <row r="247" spans="1:33" ht="25.5" x14ac:dyDescent="0.2">
      <c r="A247" s="179"/>
      <c r="B247" s="241" t="s">
        <v>835</v>
      </c>
      <c r="C247" s="238" t="s">
        <v>584</v>
      </c>
      <c r="D247" s="198"/>
      <c r="E247" s="198"/>
      <c r="F247" s="198"/>
      <c r="G247" s="198"/>
      <c r="H247" s="198"/>
      <c r="I247" s="198"/>
      <c r="J247" s="198"/>
      <c r="K247" s="198"/>
      <c r="L247" s="198"/>
      <c r="M247" s="198"/>
      <c r="N247" s="198"/>
      <c r="O247" s="198"/>
      <c r="P247" s="198"/>
      <c r="Q247" s="198"/>
      <c r="R247" s="198"/>
      <c r="S247" s="198"/>
      <c r="T247" s="198"/>
      <c r="U247" s="198"/>
      <c r="V247" s="198"/>
      <c r="W247" s="198"/>
      <c r="X247" s="198"/>
      <c r="Y247" s="198"/>
      <c r="Z247" s="198"/>
      <c r="AA247" s="198"/>
      <c r="AB247" s="198"/>
      <c r="AC247" s="198"/>
      <c r="AD247" s="198"/>
      <c r="AE247" s="198"/>
      <c r="AF247" s="198"/>
      <c r="AG247" s="198"/>
    </row>
    <row r="248" spans="1:33" x14ac:dyDescent="0.2">
      <c r="A248" s="179"/>
      <c r="B248" s="175" t="s">
        <v>836</v>
      </c>
      <c r="C248" s="238">
        <f>SUM(D248:DA248)</f>
        <v>262857.45</v>
      </c>
      <c r="D248" s="198">
        <f>61730.45+5000+4100</f>
        <v>70830.45</v>
      </c>
      <c r="E248" s="198"/>
      <c r="F248" s="198"/>
      <c r="G248" s="198"/>
      <c r="H248" s="198"/>
      <c r="I248" s="198"/>
      <c r="J248" s="198"/>
      <c r="K248" s="198"/>
      <c r="L248" s="198"/>
      <c r="M248" s="198"/>
      <c r="N248" s="198"/>
      <c r="O248" s="198"/>
      <c r="P248" s="198">
        <v>45782</v>
      </c>
      <c r="Q248" s="198"/>
      <c r="R248" s="198"/>
      <c r="S248" s="198"/>
      <c r="T248" s="198"/>
      <c r="U248" s="198"/>
      <c r="V248" s="198"/>
      <c r="W248" s="198"/>
      <c r="X248" s="198"/>
      <c r="Y248" s="198"/>
      <c r="Z248" s="198"/>
      <c r="AA248" s="198"/>
      <c r="AB248" s="198"/>
      <c r="AC248" s="198"/>
      <c r="AD248" s="198">
        <v>39410</v>
      </c>
      <c r="AE248" s="198">
        <v>102735</v>
      </c>
      <c r="AF248" s="198">
        <v>4100</v>
      </c>
      <c r="AG248" s="198"/>
    </row>
    <row r="249" spans="1:33" x14ac:dyDescent="0.2">
      <c r="A249" s="179"/>
      <c r="B249" s="242" t="s">
        <v>837</v>
      </c>
      <c r="C249" s="238">
        <f>SUM(D249:DA249)</f>
        <v>770008.35</v>
      </c>
      <c r="D249" s="198">
        <f>185191.35+15000+12300</f>
        <v>212491.35</v>
      </c>
      <c r="E249" s="198"/>
      <c r="F249" s="198"/>
      <c r="G249" s="198"/>
      <c r="H249" s="198"/>
      <c r="I249" s="198"/>
      <c r="J249" s="198"/>
      <c r="K249" s="198"/>
      <c r="L249" s="198"/>
      <c r="M249" s="198"/>
      <c r="N249" s="198"/>
      <c r="O249" s="198"/>
      <c r="P249" s="198">
        <v>118782</v>
      </c>
      <c r="Q249" s="198"/>
      <c r="R249" s="198"/>
      <c r="S249" s="198"/>
      <c r="T249" s="198"/>
      <c r="U249" s="198"/>
      <c r="V249" s="198"/>
      <c r="W249" s="198"/>
      <c r="X249" s="198"/>
      <c r="Y249" s="198"/>
      <c r="Z249" s="198"/>
      <c r="AA249" s="198"/>
      <c r="AB249" s="198"/>
      <c r="AC249" s="198"/>
      <c r="AD249" s="198">
        <v>118230</v>
      </c>
      <c r="AE249" s="198">
        <v>308205</v>
      </c>
      <c r="AF249" s="198">
        <v>12300</v>
      </c>
      <c r="AG249" s="198"/>
    </row>
    <row r="250" spans="1:33" ht="25.5" x14ac:dyDescent="0.2">
      <c r="A250" s="179"/>
      <c r="B250" s="240" t="s">
        <v>838</v>
      </c>
      <c r="C250" s="238">
        <f>SUM(D250:DA250)</f>
        <v>262857.45</v>
      </c>
      <c r="D250" s="198">
        <f>61730.45+5000+4100</f>
        <v>70830.45</v>
      </c>
      <c r="E250" s="198"/>
      <c r="F250" s="198"/>
      <c r="G250" s="198"/>
      <c r="H250" s="198"/>
      <c r="I250" s="198"/>
      <c r="J250" s="198"/>
      <c r="K250" s="198"/>
      <c r="L250" s="198"/>
      <c r="M250" s="198"/>
      <c r="N250" s="198"/>
      <c r="O250" s="198"/>
      <c r="P250" s="198">
        <v>45782</v>
      </c>
      <c r="Q250" s="198"/>
      <c r="R250" s="198"/>
      <c r="S250" s="198"/>
      <c r="T250" s="198"/>
      <c r="U250" s="198"/>
      <c r="V250" s="198"/>
      <c r="W250" s="198"/>
      <c r="X250" s="198"/>
      <c r="Y250" s="198"/>
      <c r="Z250" s="198"/>
      <c r="AA250" s="198"/>
      <c r="AB250" s="198"/>
      <c r="AC250" s="198"/>
      <c r="AD250" s="198">
        <v>39410</v>
      </c>
      <c r="AE250" s="198">
        <v>102735</v>
      </c>
      <c r="AF250" s="198">
        <v>4100</v>
      </c>
      <c r="AG250" s="198"/>
    </row>
    <row r="251" spans="1:33" x14ac:dyDescent="0.2">
      <c r="A251" s="179"/>
      <c r="B251" s="240" t="s">
        <v>839</v>
      </c>
      <c r="C251" s="238">
        <f t="shared" ref="C251:C260" si="48">SUM(D251:DA251)</f>
        <v>161427.26999999999</v>
      </c>
      <c r="D251" s="198">
        <f>37038.27+3000+2460</f>
        <v>42498.27</v>
      </c>
      <c r="E251" s="198"/>
      <c r="F251" s="198"/>
      <c r="G251" s="198"/>
      <c r="H251" s="198"/>
      <c r="I251" s="198"/>
      <c r="J251" s="198"/>
      <c r="K251" s="198"/>
      <c r="L251" s="198"/>
      <c r="M251" s="198"/>
      <c r="N251" s="198"/>
      <c r="O251" s="198"/>
      <c r="P251" s="198">
        <v>31182</v>
      </c>
      <c r="Q251" s="198"/>
      <c r="R251" s="198"/>
      <c r="S251" s="198"/>
      <c r="T251" s="198"/>
      <c r="U251" s="198"/>
      <c r="V251" s="198"/>
      <c r="W251" s="198"/>
      <c r="X251" s="198"/>
      <c r="Y251" s="198"/>
      <c r="Z251" s="198"/>
      <c r="AA251" s="198"/>
      <c r="AB251" s="198"/>
      <c r="AC251" s="198"/>
      <c r="AD251" s="198">
        <v>23646</v>
      </c>
      <c r="AE251" s="198">
        <v>61641</v>
      </c>
      <c r="AF251" s="198">
        <v>2460</v>
      </c>
      <c r="AG251" s="198"/>
    </row>
    <row r="252" spans="1:33" ht="25.5" x14ac:dyDescent="0.2">
      <c r="A252" s="179"/>
      <c r="B252" s="241" t="s">
        <v>840</v>
      </c>
      <c r="C252" s="238" t="s">
        <v>584</v>
      </c>
      <c r="D252" s="198"/>
      <c r="E252" s="198"/>
      <c r="F252" s="198"/>
      <c r="G252" s="198"/>
      <c r="H252" s="198"/>
      <c r="I252" s="198"/>
      <c r="J252" s="198"/>
      <c r="K252" s="198"/>
      <c r="L252" s="198"/>
      <c r="M252" s="198"/>
      <c r="N252" s="198"/>
      <c r="O252" s="198"/>
      <c r="P252" s="198"/>
      <c r="Q252" s="198"/>
      <c r="R252" s="198"/>
      <c r="S252" s="198"/>
      <c r="T252" s="198"/>
      <c r="U252" s="198"/>
      <c r="V252" s="198"/>
      <c r="W252" s="198"/>
      <c r="X252" s="198"/>
      <c r="Y252" s="198"/>
      <c r="Z252" s="198"/>
      <c r="AA252" s="198"/>
      <c r="AB252" s="198"/>
      <c r="AC252" s="198"/>
      <c r="AD252" s="198"/>
      <c r="AE252" s="198"/>
      <c r="AF252" s="198"/>
      <c r="AG252" s="198"/>
    </row>
    <row r="253" spans="1:33" ht="25.5" x14ac:dyDescent="0.2">
      <c r="A253" s="179"/>
      <c r="B253" s="240" t="s">
        <v>841</v>
      </c>
      <c r="C253" s="238">
        <f t="shared" si="48"/>
        <v>212142.36</v>
      </c>
      <c r="D253" s="198">
        <f>49384.36+4000+3280</f>
        <v>56664.36</v>
      </c>
      <c r="E253" s="198"/>
      <c r="F253" s="198"/>
      <c r="G253" s="198"/>
      <c r="H253" s="198"/>
      <c r="I253" s="198"/>
      <c r="J253" s="198"/>
      <c r="K253" s="198"/>
      <c r="L253" s="198"/>
      <c r="M253" s="198"/>
      <c r="N253" s="198"/>
      <c r="O253" s="198"/>
      <c r="P253" s="198">
        <v>38482</v>
      </c>
      <c r="Q253" s="198"/>
      <c r="R253" s="198"/>
      <c r="S253" s="198"/>
      <c r="T253" s="198"/>
      <c r="U253" s="198"/>
      <c r="V253" s="198"/>
      <c r="W253" s="198"/>
      <c r="X253" s="198"/>
      <c r="Y253" s="198"/>
      <c r="Z253" s="198"/>
      <c r="AA253" s="198"/>
      <c r="AB253" s="198"/>
      <c r="AC253" s="198"/>
      <c r="AD253" s="198">
        <v>31528</v>
      </c>
      <c r="AE253" s="198">
        <v>82188</v>
      </c>
      <c r="AF253" s="198">
        <v>3280</v>
      </c>
      <c r="AG253" s="198"/>
    </row>
    <row r="254" spans="1:33" ht="25.5" x14ac:dyDescent="0.2">
      <c r="A254" s="179"/>
      <c r="B254" s="240" t="s">
        <v>1183</v>
      </c>
      <c r="C254" s="238">
        <f t="shared" si="48"/>
        <v>110712.18</v>
      </c>
      <c r="D254" s="198">
        <f>24692.18+2000+1640</f>
        <v>28332.18</v>
      </c>
      <c r="E254" s="198"/>
      <c r="F254" s="198"/>
      <c r="G254" s="198"/>
      <c r="H254" s="198"/>
      <c r="I254" s="198"/>
      <c r="J254" s="198"/>
      <c r="K254" s="198"/>
      <c r="L254" s="198"/>
      <c r="M254" s="198"/>
      <c r="N254" s="198"/>
      <c r="O254" s="198"/>
      <c r="P254" s="198">
        <v>23882</v>
      </c>
      <c r="Q254" s="198"/>
      <c r="R254" s="198"/>
      <c r="S254" s="198"/>
      <c r="T254" s="198"/>
      <c r="U254" s="198"/>
      <c r="V254" s="198"/>
      <c r="W254" s="198"/>
      <c r="X254" s="198"/>
      <c r="Y254" s="198"/>
      <c r="Z254" s="198"/>
      <c r="AA254" s="198"/>
      <c r="AB254" s="198"/>
      <c r="AC254" s="198"/>
      <c r="AD254" s="198">
        <v>15764</v>
      </c>
      <c r="AE254" s="198">
        <v>41094</v>
      </c>
      <c r="AF254" s="198">
        <v>1640</v>
      </c>
      <c r="AG254" s="198"/>
    </row>
    <row r="255" spans="1:33" ht="25.5" x14ac:dyDescent="0.2">
      <c r="A255" s="179"/>
      <c r="B255" s="240" t="s">
        <v>1193</v>
      </c>
      <c r="C255" s="238">
        <f t="shared" si="48"/>
        <v>110712.18</v>
      </c>
      <c r="D255" s="198">
        <f>24692.18+2000+1640</f>
        <v>28332.18</v>
      </c>
      <c r="E255" s="198"/>
      <c r="F255" s="198"/>
      <c r="G255" s="198"/>
      <c r="H255" s="198"/>
      <c r="I255" s="198"/>
      <c r="J255" s="198"/>
      <c r="K255" s="198"/>
      <c r="L255" s="198"/>
      <c r="M255" s="198"/>
      <c r="N255" s="198"/>
      <c r="O255" s="198"/>
      <c r="P255" s="198">
        <v>23882</v>
      </c>
      <c r="Q255" s="198"/>
      <c r="R255" s="198"/>
      <c r="S255" s="198"/>
      <c r="T255" s="198"/>
      <c r="U255" s="198"/>
      <c r="V255" s="198"/>
      <c r="W255" s="198"/>
      <c r="X255" s="198"/>
      <c r="Y255" s="198"/>
      <c r="Z255" s="198"/>
      <c r="AA255" s="198"/>
      <c r="AB255" s="198"/>
      <c r="AC255" s="198"/>
      <c r="AD255" s="198">
        <v>15764</v>
      </c>
      <c r="AE255" s="198">
        <v>41094</v>
      </c>
      <c r="AF255" s="198">
        <v>1640</v>
      </c>
      <c r="AG255" s="198"/>
    </row>
    <row r="256" spans="1:33" ht="25.5" x14ac:dyDescent="0.2">
      <c r="A256" s="179"/>
      <c r="B256" s="240" t="s">
        <v>1184</v>
      </c>
      <c r="C256" s="238">
        <f t="shared" si="48"/>
        <v>59997.09</v>
      </c>
      <c r="D256" s="198">
        <f>12346.09+1000+820</f>
        <v>14166.09</v>
      </c>
      <c r="E256" s="198"/>
      <c r="F256" s="198"/>
      <c r="G256" s="198"/>
      <c r="H256" s="198"/>
      <c r="I256" s="198"/>
      <c r="J256" s="198"/>
      <c r="K256" s="198"/>
      <c r="L256" s="198"/>
      <c r="M256" s="198"/>
      <c r="N256" s="198"/>
      <c r="O256" s="198"/>
      <c r="P256" s="198">
        <v>16582</v>
      </c>
      <c r="Q256" s="198"/>
      <c r="R256" s="198"/>
      <c r="S256" s="198"/>
      <c r="T256" s="198"/>
      <c r="U256" s="198"/>
      <c r="V256" s="198"/>
      <c r="W256" s="198"/>
      <c r="X256" s="198"/>
      <c r="Y256" s="198"/>
      <c r="Z256" s="198"/>
      <c r="AA256" s="198"/>
      <c r="AB256" s="198"/>
      <c r="AC256" s="198"/>
      <c r="AD256" s="198">
        <v>7882</v>
      </c>
      <c r="AE256" s="198">
        <v>20547</v>
      </c>
      <c r="AF256" s="198">
        <v>820</v>
      </c>
      <c r="AG256" s="198"/>
    </row>
    <row r="257" spans="1:33" x14ac:dyDescent="0.2">
      <c r="A257" s="179"/>
      <c r="B257" s="240" t="s">
        <v>1174</v>
      </c>
      <c r="C257" s="238" t="s">
        <v>584</v>
      </c>
      <c r="D257" s="198"/>
      <c r="E257" s="198"/>
      <c r="F257" s="198"/>
      <c r="G257" s="198"/>
      <c r="H257" s="198"/>
      <c r="I257" s="198"/>
      <c r="J257" s="198"/>
      <c r="K257" s="198"/>
      <c r="L257" s="198"/>
      <c r="M257" s="198"/>
      <c r="N257" s="198"/>
      <c r="O257" s="198"/>
      <c r="P257" s="198"/>
      <c r="Q257" s="198"/>
      <c r="R257" s="198"/>
      <c r="S257" s="198"/>
      <c r="T257" s="198"/>
      <c r="U257" s="198"/>
      <c r="V257" s="198"/>
      <c r="W257" s="198"/>
      <c r="X257" s="198"/>
      <c r="Y257" s="198"/>
      <c r="Z257" s="198"/>
      <c r="AA257" s="198"/>
      <c r="AB257" s="198"/>
      <c r="AC257" s="198"/>
      <c r="AD257" s="198"/>
      <c r="AE257" s="198"/>
      <c r="AF257" s="198"/>
      <c r="AG257" s="198"/>
    </row>
    <row r="258" spans="1:33" ht="38.25" x14ac:dyDescent="0.2">
      <c r="A258" s="179"/>
      <c r="B258" s="240" t="s">
        <v>842</v>
      </c>
      <c r="C258" s="238">
        <f t="shared" si="48"/>
        <v>197096</v>
      </c>
      <c r="D258" s="198"/>
      <c r="E258" s="198"/>
      <c r="F258" s="198"/>
      <c r="G258" s="198"/>
      <c r="H258" s="198"/>
      <c r="I258" s="198"/>
      <c r="J258" s="198"/>
      <c r="K258" s="198"/>
      <c r="L258" s="198"/>
      <c r="M258" s="198"/>
      <c r="N258" s="198"/>
      <c r="O258" s="198"/>
      <c r="P258" s="198">
        <v>197096</v>
      </c>
      <c r="Q258" s="198"/>
      <c r="R258" s="198"/>
      <c r="S258" s="198"/>
      <c r="T258" s="198"/>
      <c r="U258" s="198"/>
      <c r="V258" s="198"/>
      <c r="W258" s="198"/>
      <c r="X258" s="198"/>
      <c r="Y258" s="198"/>
      <c r="Z258" s="198"/>
      <c r="AA258" s="198"/>
      <c r="AB258" s="198"/>
      <c r="AC258" s="198"/>
      <c r="AD258" s="198"/>
      <c r="AE258" s="198"/>
      <c r="AF258" s="198"/>
      <c r="AG258" s="198"/>
    </row>
    <row r="259" spans="1:33" ht="63.75" x14ac:dyDescent="0.2">
      <c r="A259" s="179"/>
      <c r="B259" s="240" t="s">
        <v>843</v>
      </c>
      <c r="C259" s="238">
        <f t="shared" si="48"/>
        <v>13977</v>
      </c>
      <c r="D259" s="198"/>
      <c r="E259" s="198"/>
      <c r="F259" s="198"/>
      <c r="G259" s="198"/>
      <c r="H259" s="198"/>
      <c r="I259" s="198"/>
      <c r="J259" s="198"/>
      <c r="K259" s="198"/>
      <c r="L259" s="198"/>
      <c r="M259" s="198"/>
      <c r="N259" s="198"/>
      <c r="O259" s="198"/>
      <c r="P259" s="198">
        <v>13977</v>
      </c>
      <c r="Q259" s="198"/>
      <c r="R259" s="198"/>
      <c r="S259" s="198"/>
      <c r="T259" s="198"/>
      <c r="U259" s="198"/>
      <c r="V259" s="198"/>
      <c r="W259" s="198"/>
      <c r="X259" s="198"/>
      <c r="Y259" s="198"/>
      <c r="Z259" s="198"/>
      <c r="AA259" s="198"/>
      <c r="AB259" s="198"/>
      <c r="AC259" s="198"/>
      <c r="AD259" s="198"/>
      <c r="AE259" s="198"/>
      <c r="AF259" s="198"/>
      <c r="AG259" s="198"/>
    </row>
    <row r="260" spans="1:33" x14ac:dyDescent="0.2">
      <c r="A260" s="179"/>
      <c r="B260" s="240" t="s">
        <v>844</v>
      </c>
      <c r="C260" s="238">
        <f t="shared" si="48"/>
        <v>13977</v>
      </c>
      <c r="D260" s="198"/>
      <c r="E260" s="198"/>
      <c r="F260" s="198"/>
      <c r="G260" s="198"/>
      <c r="H260" s="198"/>
      <c r="I260" s="198"/>
      <c r="J260" s="198"/>
      <c r="K260" s="198"/>
      <c r="L260" s="198"/>
      <c r="M260" s="198"/>
      <c r="N260" s="198"/>
      <c r="O260" s="198"/>
      <c r="P260" s="198">
        <v>13977</v>
      </c>
      <c r="Q260" s="198"/>
      <c r="R260" s="198"/>
      <c r="S260" s="198"/>
      <c r="T260" s="198"/>
      <c r="U260" s="198"/>
      <c r="V260" s="198"/>
      <c r="W260" s="198"/>
      <c r="X260" s="198"/>
      <c r="Y260" s="198"/>
      <c r="Z260" s="198"/>
      <c r="AA260" s="198"/>
      <c r="AB260" s="198"/>
      <c r="AC260" s="198"/>
      <c r="AD260" s="198"/>
      <c r="AE260" s="198"/>
      <c r="AF260" s="198"/>
      <c r="AG260" s="198"/>
    </row>
    <row r="261" spans="1:33" ht="38.25" x14ac:dyDescent="0.2">
      <c r="A261" s="179"/>
      <c r="B261" s="240" t="s">
        <v>845</v>
      </c>
      <c r="C261" s="238">
        <f>SUM(D261:DA261)</f>
        <v>46844</v>
      </c>
      <c r="D261" s="198"/>
      <c r="E261" s="198"/>
      <c r="F261" s="198"/>
      <c r="G261" s="198"/>
      <c r="H261" s="198"/>
      <c r="I261" s="198"/>
      <c r="J261" s="198"/>
      <c r="K261" s="198"/>
      <c r="L261" s="198"/>
      <c r="M261" s="198"/>
      <c r="N261" s="198"/>
      <c r="O261" s="198"/>
      <c r="P261" s="198">
        <v>46844</v>
      </c>
      <c r="Q261" s="198"/>
      <c r="R261" s="198"/>
      <c r="S261" s="198"/>
      <c r="T261" s="198"/>
      <c r="U261" s="198"/>
      <c r="V261" s="198"/>
      <c r="W261" s="198"/>
      <c r="X261" s="198"/>
      <c r="Y261" s="198"/>
      <c r="Z261" s="198"/>
      <c r="AA261" s="198"/>
      <c r="AB261" s="198"/>
      <c r="AC261" s="198"/>
      <c r="AD261" s="198"/>
      <c r="AE261" s="198"/>
      <c r="AF261" s="198"/>
      <c r="AG261" s="198"/>
    </row>
    <row r="262" spans="1:33" ht="25.5" x14ac:dyDescent="0.2">
      <c r="A262" s="179"/>
      <c r="B262" s="241" t="s">
        <v>1187</v>
      </c>
      <c r="C262" s="238" t="s">
        <v>584</v>
      </c>
      <c r="D262" s="198"/>
      <c r="E262" s="198"/>
      <c r="F262" s="198"/>
      <c r="G262" s="198"/>
      <c r="H262" s="198"/>
      <c r="I262" s="198"/>
      <c r="J262" s="198"/>
      <c r="K262" s="198"/>
      <c r="L262" s="198"/>
      <c r="M262" s="198"/>
      <c r="N262" s="198"/>
      <c r="O262" s="198"/>
      <c r="P262" s="198"/>
      <c r="Q262" s="198"/>
      <c r="R262" s="198"/>
      <c r="S262" s="198"/>
      <c r="T262" s="198"/>
      <c r="U262" s="198"/>
      <c r="V262" s="198"/>
      <c r="W262" s="198"/>
      <c r="X262" s="198"/>
      <c r="Y262" s="198"/>
      <c r="Z262" s="198"/>
      <c r="AA262" s="198"/>
      <c r="AB262" s="198"/>
      <c r="AC262" s="198"/>
      <c r="AD262" s="198"/>
      <c r="AE262" s="198"/>
      <c r="AF262" s="198"/>
      <c r="AG262" s="198"/>
    </row>
    <row r="263" spans="1:33" ht="25.5" x14ac:dyDescent="0.2">
      <c r="A263" s="179"/>
      <c r="B263" s="240" t="s">
        <v>1194</v>
      </c>
      <c r="C263" s="238">
        <f>SUM(D263:DA263)</f>
        <v>236117</v>
      </c>
      <c r="D263" s="198"/>
      <c r="E263" s="198"/>
      <c r="F263" s="198"/>
      <c r="G263" s="198"/>
      <c r="H263" s="198"/>
      <c r="I263" s="198"/>
      <c r="J263" s="198"/>
      <c r="K263" s="198"/>
      <c r="L263" s="198"/>
      <c r="M263" s="198"/>
      <c r="N263" s="198"/>
      <c r="O263" s="198"/>
      <c r="P263" s="198">
        <v>236117</v>
      </c>
      <c r="Q263" s="198"/>
      <c r="R263" s="198"/>
      <c r="S263" s="198"/>
      <c r="T263" s="198"/>
      <c r="U263" s="198"/>
      <c r="V263" s="198"/>
      <c r="W263" s="198"/>
      <c r="X263" s="198"/>
      <c r="Y263" s="198"/>
      <c r="Z263" s="198"/>
      <c r="AA263" s="198"/>
      <c r="AB263" s="198"/>
      <c r="AC263" s="198"/>
      <c r="AD263" s="198"/>
      <c r="AE263" s="198"/>
      <c r="AF263" s="198"/>
      <c r="AG263" s="198"/>
    </row>
    <row r="264" spans="1:33" ht="25.5" x14ac:dyDescent="0.2">
      <c r="A264" s="179"/>
      <c r="B264" s="240" t="s">
        <v>1185</v>
      </c>
      <c r="C264" s="238">
        <f>SUM(D264:DA264)</f>
        <v>236117</v>
      </c>
      <c r="D264" s="198"/>
      <c r="E264" s="198"/>
      <c r="F264" s="198"/>
      <c r="G264" s="198"/>
      <c r="H264" s="198"/>
      <c r="I264" s="198"/>
      <c r="J264" s="198"/>
      <c r="K264" s="198"/>
      <c r="L264" s="198"/>
      <c r="M264" s="198"/>
      <c r="N264" s="198"/>
      <c r="O264" s="198"/>
      <c r="P264" s="198">
        <v>236117</v>
      </c>
      <c r="Q264" s="198"/>
      <c r="R264" s="198"/>
      <c r="S264" s="198"/>
      <c r="T264" s="198"/>
      <c r="U264" s="198"/>
      <c r="V264" s="198"/>
      <c r="W264" s="198"/>
      <c r="X264" s="198"/>
      <c r="Y264" s="198"/>
      <c r="Z264" s="198"/>
      <c r="AA264" s="198"/>
      <c r="AB264" s="198"/>
      <c r="AC264" s="198"/>
      <c r="AD264" s="198"/>
      <c r="AE264" s="198"/>
      <c r="AF264" s="198"/>
      <c r="AG264" s="198"/>
    </row>
    <row r="265" spans="1:33" ht="25.5" x14ac:dyDescent="0.2">
      <c r="A265" s="179"/>
      <c r="B265" s="240" t="s">
        <v>847</v>
      </c>
      <c r="C265" s="238">
        <f>SUM(D265:DA265)</f>
        <v>236117</v>
      </c>
      <c r="D265" s="198"/>
      <c r="E265" s="198"/>
      <c r="F265" s="198"/>
      <c r="G265" s="198"/>
      <c r="H265" s="198"/>
      <c r="I265" s="198"/>
      <c r="J265" s="198"/>
      <c r="K265" s="198"/>
      <c r="L265" s="198"/>
      <c r="M265" s="198"/>
      <c r="N265" s="198"/>
      <c r="O265" s="198"/>
      <c r="P265" s="198">
        <v>236117</v>
      </c>
      <c r="Q265" s="198"/>
      <c r="R265" s="198"/>
      <c r="S265" s="198"/>
      <c r="T265" s="198"/>
      <c r="U265" s="198"/>
      <c r="V265" s="198"/>
      <c r="W265" s="198"/>
      <c r="X265" s="198"/>
      <c r="Y265" s="198"/>
      <c r="Z265" s="198"/>
      <c r="AA265" s="198"/>
      <c r="AB265" s="198"/>
      <c r="AC265" s="198"/>
      <c r="AD265" s="198"/>
      <c r="AE265" s="198"/>
      <c r="AF265" s="198"/>
      <c r="AG265" s="198"/>
    </row>
    <row r="266" spans="1:33" ht="25.5" x14ac:dyDescent="0.2">
      <c r="A266" s="179"/>
      <c r="B266" s="12" t="s">
        <v>848</v>
      </c>
      <c r="C266" s="238"/>
      <c r="D266" s="198"/>
      <c r="E266" s="198"/>
      <c r="F266" s="198"/>
      <c r="G266" s="198"/>
      <c r="H266" s="198"/>
      <c r="I266" s="198"/>
      <c r="J266" s="198"/>
      <c r="K266" s="198"/>
      <c r="L266" s="198"/>
      <c r="M266" s="198"/>
      <c r="N266" s="198"/>
      <c r="O266" s="198"/>
      <c r="P266" s="198"/>
      <c r="Q266" s="198"/>
      <c r="R266" s="198"/>
      <c r="S266" s="198"/>
      <c r="T266" s="198"/>
      <c r="U266" s="198"/>
      <c r="V266" s="198"/>
      <c r="W266" s="198"/>
      <c r="X266" s="198"/>
      <c r="Y266" s="198"/>
      <c r="Z266" s="198"/>
      <c r="AA266" s="198"/>
      <c r="AB266" s="198"/>
      <c r="AC266" s="198"/>
      <c r="AD266" s="198"/>
      <c r="AE266" s="198"/>
      <c r="AF266" s="198"/>
      <c r="AG266" s="198"/>
    </row>
    <row r="267" spans="1:33" x14ac:dyDescent="0.2">
      <c r="A267" s="179"/>
      <c r="B267" s="241" t="s">
        <v>1186</v>
      </c>
      <c r="C267" s="238"/>
      <c r="D267" s="198"/>
      <c r="E267" s="198"/>
      <c r="F267" s="198"/>
      <c r="G267" s="198"/>
      <c r="H267" s="198"/>
      <c r="I267" s="198"/>
      <c r="J267" s="198"/>
      <c r="K267" s="198"/>
      <c r="L267" s="198"/>
      <c r="M267" s="198"/>
      <c r="N267" s="198"/>
      <c r="O267" s="198"/>
      <c r="P267" s="198"/>
      <c r="Q267" s="198"/>
      <c r="R267" s="198"/>
      <c r="S267" s="198"/>
      <c r="T267" s="198"/>
      <c r="U267" s="198"/>
      <c r="V267" s="198"/>
      <c r="W267" s="198"/>
      <c r="X267" s="198"/>
      <c r="Y267" s="198"/>
      <c r="Z267" s="198"/>
      <c r="AA267" s="198"/>
      <c r="AB267" s="198"/>
      <c r="AC267" s="198"/>
      <c r="AD267" s="198"/>
      <c r="AE267" s="198"/>
      <c r="AF267" s="198"/>
      <c r="AG267" s="198"/>
    </row>
    <row r="268" spans="1:33" ht="25.5" x14ac:dyDescent="0.2">
      <c r="A268" s="179"/>
      <c r="B268" s="240" t="s">
        <v>849</v>
      </c>
      <c r="C268" s="238">
        <f>SUM(D268:DA268)</f>
        <v>185245.8</v>
      </c>
      <c r="D268" s="198"/>
      <c r="E268" s="198"/>
      <c r="F268" s="198"/>
      <c r="G268" s="198"/>
      <c r="H268" s="198">
        <v>175963.8</v>
      </c>
      <c r="I268" s="198"/>
      <c r="J268" s="198"/>
      <c r="K268" s="198"/>
      <c r="L268" s="198"/>
      <c r="M268" s="198"/>
      <c r="N268" s="198"/>
      <c r="O268" s="198"/>
      <c r="P268" s="198">
        <v>9282</v>
      </c>
      <c r="Q268" s="198"/>
      <c r="R268" s="198"/>
      <c r="S268" s="198"/>
      <c r="T268" s="198"/>
      <c r="U268" s="198"/>
      <c r="V268" s="198"/>
      <c r="W268" s="198"/>
      <c r="X268" s="198"/>
      <c r="Y268" s="198"/>
      <c r="Z268" s="198"/>
      <c r="AA268" s="198"/>
      <c r="AB268" s="198"/>
      <c r="AC268" s="198"/>
      <c r="AD268" s="198"/>
      <c r="AE268" s="198"/>
      <c r="AF268" s="198"/>
      <c r="AG268" s="198"/>
    </row>
    <row r="269" spans="1:33" ht="25.5" x14ac:dyDescent="0.2">
      <c r="A269" s="179"/>
      <c r="B269" s="240" t="s">
        <v>1195</v>
      </c>
      <c r="C269" s="238">
        <f>SUM(D269:DA269)</f>
        <v>231149.4</v>
      </c>
      <c r="D269" s="198"/>
      <c r="E269" s="198"/>
      <c r="F269" s="198"/>
      <c r="G269" s="198"/>
      <c r="H269" s="198">
        <v>221867.4</v>
      </c>
      <c r="I269" s="198"/>
      <c r="J269" s="198"/>
      <c r="K269" s="198"/>
      <c r="L269" s="198"/>
      <c r="M269" s="198"/>
      <c r="N269" s="198"/>
      <c r="O269" s="198"/>
      <c r="P269" s="198">
        <v>9282</v>
      </c>
      <c r="Q269" s="198"/>
      <c r="R269" s="198"/>
      <c r="S269" s="198"/>
      <c r="T269" s="198"/>
      <c r="U269" s="198"/>
      <c r="V269" s="198"/>
      <c r="W269" s="198"/>
      <c r="X269" s="198"/>
      <c r="Y269" s="198"/>
      <c r="Z269" s="198"/>
      <c r="AA269" s="198"/>
      <c r="AB269" s="198"/>
      <c r="AC269" s="198"/>
      <c r="AD269" s="198"/>
      <c r="AE269" s="198"/>
      <c r="AF269" s="198"/>
      <c r="AG269" s="198"/>
    </row>
    <row r="270" spans="1:33" ht="25.5" x14ac:dyDescent="0.2">
      <c r="A270" s="179"/>
      <c r="B270" s="240" t="s">
        <v>1196</v>
      </c>
      <c r="C270" s="238">
        <f>SUM(D270:DA270)</f>
        <v>116390.39999999999</v>
      </c>
      <c r="D270" s="198"/>
      <c r="E270" s="198"/>
      <c r="F270" s="198"/>
      <c r="G270" s="198"/>
      <c r="H270" s="198">
        <v>107108.4</v>
      </c>
      <c r="I270" s="198"/>
      <c r="J270" s="198"/>
      <c r="K270" s="198"/>
      <c r="L270" s="198"/>
      <c r="M270" s="198"/>
      <c r="N270" s="198"/>
      <c r="O270" s="198"/>
      <c r="P270" s="198">
        <v>9282</v>
      </c>
      <c r="Q270" s="198"/>
      <c r="R270" s="198"/>
      <c r="S270" s="198"/>
      <c r="T270" s="198"/>
      <c r="U270" s="198"/>
      <c r="V270" s="198"/>
      <c r="W270" s="198"/>
      <c r="X270" s="198"/>
      <c r="Y270" s="198"/>
      <c r="Z270" s="198"/>
      <c r="AA270" s="198"/>
      <c r="AB270" s="198"/>
      <c r="AC270" s="198"/>
      <c r="AD270" s="198"/>
      <c r="AE270" s="198"/>
      <c r="AF270" s="198"/>
      <c r="AG270" s="198"/>
    </row>
    <row r="271" spans="1:33" ht="25.5" x14ac:dyDescent="0.2">
      <c r="A271" s="179"/>
      <c r="B271" s="240" t="s">
        <v>1197</v>
      </c>
      <c r="C271" s="238">
        <f>SUM(D271:DA271)</f>
        <v>269402.40000000002</v>
      </c>
      <c r="D271" s="198"/>
      <c r="E271" s="198"/>
      <c r="F271" s="198"/>
      <c r="G271" s="198"/>
      <c r="H271" s="198">
        <v>260120.4</v>
      </c>
      <c r="I271" s="198"/>
      <c r="J271" s="198"/>
      <c r="K271" s="198"/>
      <c r="L271" s="198"/>
      <c r="M271" s="198"/>
      <c r="N271" s="198"/>
      <c r="O271" s="198"/>
      <c r="P271" s="198">
        <v>9282</v>
      </c>
      <c r="Q271" s="198"/>
      <c r="R271" s="198"/>
      <c r="S271" s="198"/>
      <c r="T271" s="198"/>
      <c r="U271" s="198"/>
      <c r="V271" s="198"/>
      <c r="W271" s="198"/>
      <c r="X271" s="198"/>
      <c r="Y271" s="198"/>
      <c r="Z271" s="198"/>
      <c r="AA271" s="198"/>
      <c r="AB271" s="198"/>
      <c r="AC271" s="198"/>
      <c r="AD271" s="198"/>
      <c r="AE271" s="198"/>
      <c r="AF271" s="198"/>
      <c r="AG271" s="198"/>
    </row>
    <row r="272" spans="1:33" ht="51" x14ac:dyDescent="0.2">
      <c r="A272" s="179"/>
      <c r="B272" s="12" t="s">
        <v>850</v>
      </c>
      <c r="C272" s="238"/>
      <c r="D272" s="198"/>
      <c r="E272" s="198"/>
      <c r="F272" s="198"/>
      <c r="G272" s="198"/>
      <c r="H272" s="198"/>
      <c r="I272" s="198"/>
      <c r="J272" s="198"/>
      <c r="K272" s="198"/>
      <c r="L272" s="198"/>
      <c r="M272" s="198"/>
      <c r="N272" s="198"/>
      <c r="O272" s="198"/>
      <c r="P272" s="198"/>
      <c r="Q272" s="198"/>
      <c r="R272" s="198"/>
      <c r="S272" s="198"/>
      <c r="T272" s="198"/>
      <c r="U272" s="198"/>
      <c r="V272" s="198"/>
      <c r="W272" s="198"/>
      <c r="X272" s="198"/>
      <c r="Y272" s="198"/>
      <c r="Z272" s="198"/>
      <c r="AA272" s="198"/>
      <c r="AB272" s="198"/>
      <c r="AC272" s="198"/>
      <c r="AD272" s="198"/>
      <c r="AE272" s="198"/>
      <c r="AF272" s="198"/>
      <c r="AG272" s="198"/>
    </row>
    <row r="273" spans="1:33" ht="25.5" x14ac:dyDescent="0.2">
      <c r="A273" s="179"/>
      <c r="B273" s="243" t="s">
        <v>1198</v>
      </c>
      <c r="C273" s="238"/>
      <c r="D273" s="198"/>
      <c r="E273" s="198"/>
      <c r="F273" s="198"/>
      <c r="G273" s="198"/>
      <c r="H273" s="198"/>
      <c r="I273" s="198"/>
      <c r="J273" s="198"/>
      <c r="K273" s="198"/>
      <c r="L273" s="198"/>
      <c r="M273" s="198"/>
      <c r="N273" s="198"/>
      <c r="O273" s="198"/>
      <c r="P273" s="198"/>
      <c r="Q273" s="198"/>
      <c r="R273" s="198"/>
      <c r="S273" s="198"/>
      <c r="T273" s="198"/>
      <c r="U273" s="198"/>
      <c r="V273" s="198"/>
      <c r="W273" s="198"/>
      <c r="X273" s="198"/>
      <c r="Y273" s="198"/>
      <c r="Z273" s="198"/>
      <c r="AA273" s="198"/>
      <c r="AB273" s="198"/>
      <c r="AC273" s="198"/>
      <c r="AD273" s="198"/>
      <c r="AE273" s="198"/>
      <c r="AF273" s="198"/>
      <c r="AG273" s="198"/>
    </row>
    <row r="274" spans="1:33" ht="51" x14ac:dyDescent="0.2">
      <c r="A274" s="179"/>
      <c r="B274" s="174" t="s">
        <v>1199</v>
      </c>
      <c r="C274" s="238">
        <f>SUM(D274:DA274)</f>
        <v>1049094</v>
      </c>
      <c r="D274" s="198"/>
      <c r="E274" s="198"/>
      <c r="F274" s="198"/>
      <c r="G274" s="198"/>
      <c r="H274" s="198"/>
      <c r="I274" s="198"/>
      <c r="J274" s="198"/>
      <c r="K274" s="198"/>
      <c r="L274" s="198"/>
      <c r="M274" s="198"/>
      <c r="N274" s="198"/>
      <c r="O274" s="198"/>
      <c r="P274" s="198">
        <v>1049094</v>
      </c>
      <c r="Q274" s="198"/>
      <c r="R274" s="198"/>
      <c r="S274" s="198"/>
      <c r="T274" s="198"/>
      <c r="U274" s="198"/>
      <c r="V274" s="198"/>
      <c r="W274" s="198"/>
      <c r="X274" s="198"/>
      <c r="Y274" s="198"/>
      <c r="Z274" s="198"/>
      <c r="AA274" s="198"/>
      <c r="AB274" s="198"/>
      <c r="AC274" s="198"/>
      <c r="AD274" s="198"/>
      <c r="AE274" s="198"/>
      <c r="AF274" s="198"/>
      <c r="AG274" s="198"/>
    </row>
    <row r="275" spans="1:33" ht="51" x14ac:dyDescent="0.2">
      <c r="A275" s="179"/>
      <c r="B275" s="174" t="s">
        <v>975</v>
      </c>
      <c r="C275" s="238">
        <f t="shared" ref="C275:C292" si="49">SUM(D275:DA275)</f>
        <v>365190</v>
      </c>
      <c r="D275" s="198"/>
      <c r="E275" s="198"/>
      <c r="F275" s="198"/>
      <c r="G275" s="198"/>
      <c r="H275" s="198"/>
      <c r="I275" s="198"/>
      <c r="J275" s="198"/>
      <c r="K275" s="198"/>
      <c r="L275" s="198"/>
      <c r="M275" s="198"/>
      <c r="N275" s="198"/>
      <c r="O275" s="198"/>
      <c r="P275" s="198">
        <v>365190</v>
      </c>
      <c r="Q275" s="198"/>
      <c r="R275" s="198"/>
      <c r="S275" s="198"/>
      <c r="T275" s="198"/>
      <c r="U275" s="198"/>
      <c r="V275" s="198"/>
      <c r="W275" s="198"/>
      <c r="X275" s="198"/>
      <c r="Y275" s="198"/>
      <c r="Z275" s="198"/>
      <c r="AA275" s="198"/>
      <c r="AB275" s="198"/>
      <c r="AC275" s="198"/>
      <c r="AD275" s="198"/>
      <c r="AE275" s="198"/>
      <c r="AF275" s="198"/>
      <c r="AG275" s="198"/>
    </row>
    <row r="276" spans="1:33" ht="25.5" x14ac:dyDescent="0.2">
      <c r="A276" s="179"/>
      <c r="B276" s="243" t="s">
        <v>852</v>
      </c>
      <c r="C276" s="238" t="s">
        <v>584</v>
      </c>
      <c r="D276" s="198"/>
      <c r="E276" s="198"/>
      <c r="F276" s="198"/>
      <c r="G276" s="198"/>
      <c r="H276" s="198"/>
      <c r="I276" s="198"/>
      <c r="J276" s="198"/>
      <c r="K276" s="198"/>
      <c r="L276" s="198"/>
      <c r="M276" s="198"/>
      <c r="N276" s="198"/>
      <c r="O276" s="198"/>
      <c r="P276" s="198"/>
      <c r="Q276" s="198"/>
      <c r="R276" s="198"/>
      <c r="S276" s="198"/>
      <c r="T276" s="198"/>
      <c r="U276" s="198"/>
      <c r="V276" s="198"/>
      <c r="W276" s="198"/>
      <c r="X276" s="198"/>
      <c r="Y276" s="198"/>
      <c r="Z276" s="198"/>
      <c r="AA276" s="198"/>
      <c r="AB276" s="198"/>
      <c r="AC276" s="198"/>
      <c r="AD276" s="198"/>
      <c r="AE276" s="198"/>
      <c r="AF276" s="198"/>
      <c r="AG276" s="198"/>
    </row>
    <row r="277" spans="1:33" ht="51" x14ac:dyDescent="0.2">
      <c r="A277" s="179"/>
      <c r="B277" s="174" t="s">
        <v>1200</v>
      </c>
      <c r="C277" s="238">
        <f t="shared" si="49"/>
        <v>500988</v>
      </c>
      <c r="D277" s="198"/>
      <c r="E277" s="198"/>
      <c r="F277" s="198"/>
      <c r="G277" s="198"/>
      <c r="H277" s="198"/>
      <c r="I277" s="198"/>
      <c r="J277" s="198"/>
      <c r="K277" s="198"/>
      <c r="L277" s="198"/>
      <c r="M277" s="198"/>
      <c r="N277" s="198"/>
      <c r="O277" s="198"/>
      <c r="P277" s="198">
        <v>500988</v>
      </c>
      <c r="Q277" s="198"/>
      <c r="R277" s="198"/>
      <c r="S277" s="198"/>
      <c r="T277" s="198"/>
      <c r="U277" s="198"/>
      <c r="V277" s="198"/>
      <c r="W277" s="198"/>
      <c r="X277" s="198"/>
      <c r="Y277" s="198"/>
      <c r="Z277" s="198"/>
      <c r="AA277" s="198"/>
      <c r="AB277" s="198"/>
      <c r="AC277" s="198"/>
      <c r="AD277" s="198"/>
      <c r="AE277" s="198"/>
      <c r="AF277" s="198"/>
      <c r="AG277" s="198"/>
    </row>
    <row r="278" spans="1:33" ht="25.5" x14ac:dyDescent="0.2">
      <c r="A278" s="179"/>
      <c r="B278" s="174" t="s">
        <v>853</v>
      </c>
      <c r="C278" s="238">
        <f t="shared" si="49"/>
        <v>500988</v>
      </c>
      <c r="D278" s="198"/>
      <c r="E278" s="198"/>
      <c r="F278" s="198"/>
      <c r="G278" s="198"/>
      <c r="H278" s="198"/>
      <c r="I278" s="198"/>
      <c r="J278" s="198"/>
      <c r="K278" s="198"/>
      <c r="L278" s="198"/>
      <c r="M278" s="198"/>
      <c r="N278" s="198"/>
      <c r="O278" s="198"/>
      <c r="P278" s="198">
        <v>500988</v>
      </c>
      <c r="Q278" s="198"/>
      <c r="R278" s="198"/>
      <c r="S278" s="198"/>
      <c r="T278" s="198"/>
      <c r="U278" s="198"/>
      <c r="V278" s="198"/>
      <c r="W278" s="198"/>
      <c r="X278" s="198"/>
      <c r="Y278" s="198"/>
      <c r="Z278" s="198"/>
      <c r="AA278" s="198"/>
      <c r="AB278" s="198"/>
      <c r="AC278" s="198"/>
      <c r="AD278" s="198"/>
      <c r="AE278" s="198"/>
      <c r="AF278" s="198"/>
      <c r="AG278" s="198"/>
    </row>
    <row r="279" spans="1:33" ht="38.25" x14ac:dyDescent="0.2">
      <c r="A279" s="179"/>
      <c r="B279" s="243" t="s">
        <v>1201</v>
      </c>
      <c r="C279" s="238" t="s">
        <v>584</v>
      </c>
      <c r="D279" s="198"/>
      <c r="E279" s="198"/>
      <c r="F279" s="198"/>
      <c r="G279" s="198"/>
      <c r="H279" s="198"/>
      <c r="I279" s="198"/>
      <c r="J279" s="198"/>
      <c r="K279" s="198"/>
      <c r="L279" s="198"/>
      <c r="M279" s="198"/>
      <c r="N279" s="198"/>
      <c r="O279" s="198"/>
      <c r="P279" s="198"/>
      <c r="Q279" s="198"/>
      <c r="R279" s="198"/>
      <c r="S279" s="198"/>
      <c r="T279" s="198"/>
      <c r="U279" s="198"/>
      <c r="V279" s="198"/>
      <c r="W279" s="198"/>
      <c r="X279" s="198"/>
      <c r="Y279" s="198"/>
      <c r="Z279" s="198"/>
      <c r="AA279" s="198"/>
      <c r="AB279" s="198"/>
      <c r="AC279" s="198"/>
      <c r="AD279" s="198"/>
      <c r="AE279" s="198"/>
      <c r="AF279" s="198"/>
      <c r="AG279" s="198"/>
    </row>
    <row r="280" spans="1:33" ht="38.25" x14ac:dyDescent="0.2">
      <c r="A280" s="179"/>
      <c r="B280" s="174" t="s">
        <v>1202</v>
      </c>
      <c r="C280" s="238">
        <f t="shared" si="49"/>
        <v>143916</v>
      </c>
      <c r="D280" s="198"/>
      <c r="E280" s="198"/>
      <c r="F280" s="198"/>
      <c r="G280" s="198"/>
      <c r="H280" s="198"/>
      <c r="I280" s="198"/>
      <c r="J280" s="198"/>
      <c r="K280" s="198"/>
      <c r="L280" s="198"/>
      <c r="M280" s="198"/>
      <c r="N280" s="198"/>
      <c r="O280" s="198"/>
      <c r="P280" s="198">
        <v>143916</v>
      </c>
      <c r="Q280" s="198"/>
      <c r="R280" s="198"/>
      <c r="S280" s="198"/>
      <c r="T280" s="198"/>
      <c r="U280" s="198"/>
      <c r="V280" s="198"/>
      <c r="W280" s="198"/>
      <c r="X280" s="198"/>
      <c r="Y280" s="198"/>
      <c r="Z280" s="198"/>
      <c r="AA280" s="198"/>
      <c r="AB280" s="198"/>
      <c r="AC280" s="198"/>
      <c r="AD280" s="198"/>
      <c r="AE280" s="198"/>
      <c r="AF280" s="198"/>
      <c r="AG280" s="198"/>
    </row>
    <row r="281" spans="1:33" x14ac:dyDescent="0.2">
      <c r="A281" s="179"/>
      <c r="B281" s="174" t="s">
        <v>1203</v>
      </c>
      <c r="C281" s="238">
        <f t="shared" si="49"/>
        <v>139956</v>
      </c>
      <c r="D281" s="198"/>
      <c r="E281" s="198"/>
      <c r="F281" s="198"/>
      <c r="G281" s="198"/>
      <c r="H281" s="198"/>
      <c r="I281" s="198"/>
      <c r="J281" s="198"/>
      <c r="K281" s="198"/>
      <c r="L281" s="198"/>
      <c r="M281" s="198"/>
      <c r="N281" s="198"/>
      <c r="O281" s="198"/>
      <c r="P281" s="198">
        <v>139956</v>
      </c>
      <c r="Q281" s="198"/>
      <c r="R281" s="198"/>
      <c r="S281" s="198"/>
      <c r="T281" s="198"/>
      <c r="U281" s="198"/>
      <c r="V281" s="198"/>
      <c r="W281" s="198"/>
      <c r="X281" s="198"/>
      <c r="Y281" s="198"/>
      <c r="Z281" s="198"/>
      <c r="AA281" s="198"/>
      <c r="AB281" s="198"/>
      <c r="AC281" s="198"/>
      <c r="AD281" s="198"/>
      <c r="AE281" s="198"/>
      <c r="AF281" s="198"/>
      <c r="AG281" s="198"/>
    </row>
    <row r="282" spans="1:33" ht="51" x14ac:dyDescent="0.2">
      <c r="A282" s="179"/>
      <c r="B282" s="174" t="s">
        <v>854</v>
      </c>
      <c r="C282" s="238">
        <f t="shared" si="49"/>
        <v>139956</v>
      </c>
      <c r="D282" s="198"/>
      <c r="E282" s="198"/>
      <c r="F282" s="198"/>
      <c r="G282" s="198"/>
      <c r="H282" s="198"/>
      <c r="I282" s="198"/>
      <c r="J282" s="198"/>
      <c r="K282" s="198"/>
      <c r="L282" s="198"/>
      <c r="M282" s="198"/>
      <c r="N282" s="198"/>
      <c r="O282" s="198"/>
      <c r="P282" s="198">
        <v>139956</v>
      </c>
      <c r="Q282" s="198"/>
      <c r="R282" s="198"/>
      <c r="S282" s="198"/>
      <c r="T282" s="198"/>
      <c r="U282" s="198"/>
      <c r="V282" s="198"/>
      <c r="W282" s="198"/>
      <c r="X282" s="198"/>
      <c r="Y282" s="198"/>
      <c r="Z282" s="198"/>
      <c r="AA282" s="198"/>
      <c r="AB282" s="198"/>
      <c r="AC282" s="198"/>
      <c r="AD282" s="198"/>
      <c r="AE282" s="198"/>
      <c r="AF282" s="198"/>
      <c r="AG282" s="198"/>
    </row>
    <row r="283" spans="1:33" ht="25.5" x14ac:dyDescent="0.2">
      <c r="A283" s="179"/>
      <c r="B283" s="243" t="s">
        <v>1204</v>
      </c>
      <c r="C283" s="238" t="s">
        <v>584</v>
      </c>
      <c r="D283" s="198"/>
      <c r="E283" s="198"/>
      <c r="F283" s="198"/>
      <c r="G283" s="198"/>
      <c r="H283" s="198"/>
      <c r="I283" s="198"/>
      <c r="J283" s="198"/>
      <c r="K283" s="198"/>
      <c r="L283" s="198"/>
      <c r="M283" s="198"/>
      <c r="N283" s="198"/>
      <c r="O283" s="198"/>
      <c r="P283" s="198"/>
      <c r="Q283" s="198"/>
      <c r="R283" s="198"/>
      <c r="S283" s="198"/>
      <c r="T283" s="198"/>
      <c r="U283" s="198"/>
      <c r="V283" s="198"/>
      <c r="W283" s="198"/>
      <c r="X283" s="198"/>
      <c r="Y283" s="198"/>
      <c r="Z283" s="198"/>
      <c r="AA283" s="198"/>
      <c r="AB283" s="198"/>
      <c r="AC283" s="198"/>
      <c r="AD283" s="198"/>
      <c r="AE283" s="198"/>
      <c r="AF283" s="198"/>
      <c r="AG283" s="198"/>
    </row>
    <row r="284" spans="1:33" ht="25.5" x14ac:dyDescent="0.2">
      <c r="A284" s="179"/>
      <c r="B284" s="175" t="s">
        <v>856</v>
      </c>
      <c r="C284" s="238">
        <f t="shared" si="49"/>
        <v>341076</v>
      </c>
      <c r="D284" s="198"/>
      <c r="E284" s="198"/>
      <c r="F284" s="198"/>
      <c r="G284" s="198"/>
      <c r="H284" s="198">
        <v>112810</v>
      </c>
      <c r="I284" s="198"/>
      <c r="J284" s="198"/>
      <c r="K284" s="198"/>
      <c r="L284" s="198"/>
      <c r="M284" s="198"/>
      <c r="N284" s="198"/>
      <c r="O284" s="198"/>
      <c r="P284" s="198">
        <v>228266</v>
      </c>
      <c r="Q284" s="198"/>
      <c r="R284" s="198"/>
      <c r="S284" s="198"/>
      <c r="T284" s="198"/>
      <c r="U284" s="198"/>
      <c r="V284" s="198"/>
      <c r="W284" s="198"/>
      <c r="X284" s="198"/>
      <c r="Y284" s="198"/>
      <c r="Z284" s="198"/>
      <c r="AA284" s="198"/>
      <c r="AB284" s="198"/>
      <c r="AC284" s="198"/>
      <c r="AD284" s="198"/>
      <c r="AE284" s="198"/>
      <c r="AF284" s="198"/>
      <c r="AG284" s="198"/>
    </row>
    <row r="285" spans="1:33" x14ac:dyDescent="0.2">
      <c r="A285" s="179"/>
      <c r="B285" s="175" t="s">
        <v>1205</v>
      </c>
      <c r="C285" s="238">
        <f t="shared" si="49"/>
        <v>341076</v>
      </c>
      <c r="D285" s="198"/>
      <c r="E285" s="198"/>
      <c r="F285" s="198"/>
      <c r="G285" s="198"/>
      <c r="H285" s="198">
        <v>112810</v>
      </c>
      <c r="I285" s="198"/>
      <c r="J285" s="198"/>
      <c r="K285" s="198"/>
      <c r="L285" s="198"/>
      <c r="M285" s="198"/>
      <c r="N285" s="198"/>
      <c r="O285" s="198"/>
      <c r="P285" s="198">
        <v>228266</v>
      </c>
      <c r="Q285" s="198"/>
      <c r="R285" s="198"/>
      <c r="S285" s="198"/>
      <c r="T285" s="198"/>
      <c r="U285" s="198"/>
      <c r="V285" s="198"/>
      <c r="W285" s="198"/>
      <c r="X285" s="198"/>
      <c r="Y285" s="198"/>
      <c r="Z285" s="198"/>
      <c r="AA285" s="198"/>
      <c r="AB285" s="198"/>
      <c r="AC285" s="198"/>
      <c r="AD285" s="198"/>
      <c r="AE285" s="198"/>
      <c r="AF285" s="198"/>
      <c r="AG285" s="198"/>
    </row>
    <row r="286" spans="1:33" ht="25.5" x14ac:dyDescent="0.2">
      <c r="A286" s="179"/>
      <c r="B286" s="175" t="s">
        <v>1176</v>
      </c>
      <c r="C286" s="238">
        <f t="shared" si="49"/>
        <v>341076</v>
      </c>
      <c r="D286" s="198"/>
      <c r="E286" s="198"/>
      <c r="F286" s="198"/>
      <c r="G286" s="198"/>
      <c r="H286" s="198">
        <v>112810</v>
      </c>
      <c r="I286" s="198"/>
      <c r="J286" s="198"/>
      <c r="K286" s="198"/>
      <c r="L286" s="198"/>
      <c r="M286" s="198"/>
      <c r="N286" s="198"/>
      <c r="O286" s="198"/>
      <c r="P286" s="198">
        <v>228266</v>
      </c>
      <c r="Q286" s="198"/>
      <c r="R286" s="198"/>
      <c r="S286" s="198"/>
      <c r="T286" s="198"/>
      <c r="U286" s="198"/>
      <c r="V286" s="198"/>
      <c r="W286" s="198"/>
      <c r="X286" s="198"/>
      <c r="Y286" s="198"/>
      <c r="Z286" s="198"/>
      <c r="AA286" s="198"/>
      <c r="AB286" s="198"/>
      <c r="AC286" s="198"/>
      <c r="AD286" s="198"/>
      <c r="AE286" s="198"/>
      <c r="AF286" s="198"/>
      <c r="AG286" s="198"/>
    </row>
    <row r="287" spans="1:33" x14ac:dyDescent="0.2">
      <c r="A287" s="179"/>
      <c r="B287" s="175" t="s">
        <v>1175</v>
      </c>
      <c r="C287" s="238">
        <f t="shared" si="49"/>
        <v>341076</v>
      </c>
      <c r="D287" s="198"/>
      <c r="E287" s="198"/>
      <c r="F287" s="198"/>
      <c r="G287" s="198"/>
      <c r="H287" s="198">
        <v>112810</v>
      </c>
      <c r="I287" s="198"/>
      <c r="J287" s="198"/>
      <c r="K287" s="198"/>
      <c r="L287" s="198"/>
      <c r="M287" s="198"/>
      <c r="N287" s="198"/>
      <c r="O287" s="198"/>
      <c r="P287" s="198">
        <v>228266</v>
      </c>
      <c r="Q287" s="198"/>
      <c r="R287" s="198"/>
      <c r="S287" s="198"/>
      <c r="T287" s="198"/>
      <c r="U287" s="198"/>
      <c r="V287" s="198"/>
      <c r="W287" s="198"/>
      <c r="X287" s="198"/>
      <c r="Y287" s="198"/>
      <c r="Z287" s="198"/>
      <c r="AA287" s="198"/>
      <c r="AB287" s="198"/>
      <c r="AC287" s="198"/>
      <c r="AD287" s="198"/>
      <c r="AE287" s="198"/>
      <c r="AF287" s="198"/>
      <c r="AG287" s="198"/>
    </row>
    <row r="288" spans="1:33" ht="51" x14ac:dyDescent="0.2">
      <c r="A288" s="179"/>
      <c r="B288" s="244" t="s">
        <v>1206</v>
      </c>
      <c r="C288" s="238" t="s">
        <v>584</v>
      </c>
      <c r="D288" s="198"/>
      <c r="E288" s="198"/>
      <c r="F288" s="198"/>
      <c r="G288" s="198"/>
      <c r="H288" s="198"/>
      <c r="I288" s="198"/>
      <c r="J288" s="198"/>
      <c r="K288" s="198"/>
      <c r="L288" s="198"/>
      <c r="M288" s="198"/>
      <c r="N288" s="198"/>
      <c r="O288" s="198"/>
      <c r="P288" s="198"/>
      <c r="Q288" s="198"/>
      <c r="R288" s="198"/>
      <c r="S288" s="198"/>
      <c r="T288" s="198"/>
      <c r="U288" s="198"/>
      <c r="V288" s="198"/>
      <c r="W288" s="198"/>
      <c r="X288" s="198"/>
      <c r="Y288" s="198"/>
      <c r="Z288" s="198"/>
      <c r="AA288" s="198"/>
      <c r="AB288" s="198"/>
      <c r="AC288" s="198"/>
      <c r="AD288" s="198"/>
      <c r="AE288" s="198"/>
      <c r="AF288" s="198"/>
      <c r="AG288" s="198"/>
    </row>
    <row r="289" spans="1:33" ht="38.25" x14ac:dyDescent="0.2">
      <c r="A289" s="179"/>
      <c r="B289" s="175" t="s">
        <v>1207</v>
      </c>
      <c r="C289" s="238">
        <f t="shared" si="49"/>
        <v>755818.49</v>
      </c>
      <c r="D289" s="198"/>
      <c r="E289" s="198"/>
      <c r="F289" s="198"/>
      <c r="G289" s="198"/>
      <c r="H289" s="198">
        <v>253822.49</v>
      </c>
      <c r="I289" s="198"/>
      <c r="J289" s="198"/>
      <c r="K289" s="198"/>
      <c r="L289" s="198"/>
      <c r="M289" s="198"/>
      <c r="N289" s="198"/>
      <c r="O289" s="198"/>
      <c r="P289" s="198">
        <v>501996</v>
      </c>
      <c r="Q289" s="198"/>
      <c r="R289" s="198"/>
      <c r="S289" s="198"/>
      <c r="T289" s="198"/>
      <c r="U289" s="198"/>
      <c r="V289" s="198"/>
      <c r="W289" s="198"/>
      <c r="X289" s="198"/>
      <c r="Y289" s="198"/>
      <c r="Z289" s="198"/>
      <c r="AA289" s="198"/>
      <c r="AB289" s="198"/>
      <c r="AC289" s="198"/>
      <c r="AD289" s="198"/>
      <c r="AE289" s="198"/>
      <c r="AF289" s="198"/>
      <c r="AG289" s="198"/>
    </row>
    <row r="290" spans="1:33" ht="25.5" x14ac:dyDescent="0.2">
      <c r="A290" s="179"/>
      <c r="B290" s="174" t="s">
        <v>1208</v>
      </c>
      <c r="C290" s="238">
        <f t="shared" si="49"/>
        <v>307896</v>
      </c>
      <c r="D290" s="198"/>
      <c r="E290" s="198"/>
      <c r="F290" s="198"/>
      <c r="G290" s="198"/>
      <c r="H290" s="198">
        <v>101529</v>
      </c>
      <c r="I290" s="198"/>
      <c r="J290" s="198"/>
      <c r="K290" s="198"/>
      <c r="L290" s="198"/>
      <c r="M290" s="198"/>
      <c r="N290" s="198"/>
      <c r="O290" s="198"/>
      <c r="P290" s="198">
        <v>206367</v>
      </c>
      <c r="Q290" s="198"/>
      <c r="R290" s="198"/>
      <c r="S290" s="198"/>
      <c r="T290" s="198"/>
      <c r="U290" s="198"/>
      <c r="V290" s="198"/>
      <c r="W290" s="198"/>
      <c r="X290" s="198"/>
      <c r="Y290" s="198"/>
      <c r="Z290" s="198"/>
      <c r="AA290" s="198"/>
      <c r="AB290" s="198"/>
      <c r="AC290" s="198"/>
      <c r="AD290" s="198"/>
      <c r="AE290" s="198"/>
      <c r="AF290" s="198"/>
      <c r="AG290" s="198"/>
    </row>
    <row r="291" spans="1:33" ht="38.25" x14ac:dyDescent="0.2">
      <c r="A291" s="179"/>
      <c r="B291" s="175" t="s">
        <v>1209</v>
      </c>
      <c r="C291" s="238">
        <f t="shared" si="49"/>
        <v>457203.49</v>
      </c>
      <c r="D291" s="198"/>
      <c r="E291" s="198"/>
      <c r="F291" s="198"/>
      <c r="G291" s="198"/>
      <c r="H291" s="198">
        <v>152293.49</v>
      </c>
      <c r="I291" s="198"/>
      <c r="J291" s="198"/>
      <c r="K291" s="198"/>
      <c r="L291" s="198"/>
      <c r="M291" s="198"/>
      <c r="N291" s="198"/>
      <c r="O291" s="198"/>
      <c r="P291" s="198">
        <v>304910</v>
      </c>
      <c r="Q291" s="198"/>
      <c r="R291" s="198"/>
      <c r="S291" s="198"/>
      <c r="T291" s="198"/>
      <c r="U291" s="198"/>
      <c r="V291" s="198"/>
      <c r="W291" s="198"/>
      <c r="X291" s="198"/>
      <c r="Y291" s="198"/>
      <c r="Z291" s="198"/>
      <c r="AA291" s="198"/>
      <c r="AB291" s="198"/>
      <c r="AC291" s="198"/>
      <c r="AD291" s="198"/>
      <c r="AE291" s="198"/>
      <c r="AF291" s="198"/>
      <c r="AG291" s="198"/>
    </row>
    <row r="292" spans="1:33" x14ac:dyDescent="0.2">
      <c r="A292" s="179" t="s">
        <v>74</v>
      </c>
      <c r="B292" s="245" t="s">
        <v>159</v>
      </c>
      <c r="C292" s="266">
        <f t="shared" si="49"/>
        <v>41727272.729999997</v>
      </c>
      <c r="D292" s="267">
        <f t="shared" ref="D292:AG292" si="50">SUM(D209:D291)</f>
        <v>1416609</v>
      </c>
      <c r="E292" s="267">
        <f t="shared" si="50"/>
        <v>0</v>
      </c>
      <c r="F292" s="267">
        <f t="shared" si="50"/>
        <v>0</v>
      </c>
      <c r="G292" s="267">
        <f t="shared" si="50"/>
        <v>0</v>
      </c>
      <c r="H292" s="267">
        <f t="shared" si="50"/>
        <v>14339492.970000001</v>
      </c>
      <c r="I292" s="267">
        <f t="shared" si="50"/>
        <v>0</v>
      </c>
      <c r="J292" s="267">
        <f t="shared" si="50"/>
        <v>0</v>
      </c>
      <c r="K292" s="267">
        <f t="shared" si="50"/>
        <v>0</v>
      </c>
      <c r="L292" s="267">
        <f t="shared" si="50"/>
        <v>0</v>
      </c>
      <c r="M292" s="267">
        <f t="shared" si="50"/>
        <v>0</v>
      </c>
      <c r="N292" s="267">
        <f t="shared" si="50"/>
        <v>0</v>
      </c>
      <c r="O292" s="267">
        <f t="shared" si="50"/>
        <v>0</v>
      </c>
      <c r="P292" s="267">
        <f t="shared" si="50"/>
        <v>22365936</v>
      </c>
      <c r="Q292" s="267">
        <f t="shared" si="50"/>
        <v>0</v>
      </c>
      <c r="R292" s="267">
        <f t="shared" si="50"/>
        <v>0</v>
      </c>
      <c r="S292" s="267">
        <f t="shared" si="50"/>
        <v>0</v>
      </c>
      <c r="T292" s="267">
        <f t="shared" si="50"/>
        <v>0</v>
      </c>
      <c r="U292" s="267">
        <f t="shared" si="50"/>
        <v>0</v>
      </c>
      <c r="V292" s="267">
        <f t="shared" si="50"/>
        <v>0</v>
      </c>
      <c r="W292" s="267">
        <f t="shared" si="50"/>
        <v>140842</v>
      </c>
      <c r="X292" s="267">
        <f t="shared" si="50"/>
        <v>50000</v>
      </c>
      <c r="Y292" s="267">
        <f t="shared" si="50"/>
        <v>0</v>
      </c>
      <c r="Z292" s="267">
        <f t="shared" si="50"/>
        <v>0</v>
      </c>
      <c r="AA292" s="267">
        <f t="shared" si="50"/>
        <v>437909.75</v>
      </c>
      <c r="AB292" s="267">
        <f t="shared" si="50"/>
        <v>10000</v>
      </c>
      <c r="AC292" s="267">
        <f t="shared" si="50"/>
        <v>41583.01</v>
      </c>
      <c r="AD292" s="267">
        <f t="shared" si="50"/>
        <v>788200</v>
      </c>
      <c r="AE292" s="267">
        <f t="shared" si="50"/>
        <v>2054700</v>
      </c>
      <c r="AF292" s="267">
        <f t="shared" si="50"/>
        <v>82000</v>
      </c>
      <c r="AG292" s="267">
        <f t="shared" si="50"/>
        <v>0</v>
      </c>
    </row>
    <row r="293" spans="1:33" x14ac:dyDescent="0.2">
      <c r="A293" s="179"/>
      <c r="B293" s="245"/>
      <c r="C293" s="246"/>
      <c r="D293" s="247"/>
      <c r="E293" s="247"/>
      <c r="F293" s="247"/>
      <c r="G293" s="247"/>
      <c r="H293" s="247"/>
      <c r="I293" s="247"/>
      <c r="J293" s="247"/>
      <c r="K293" s="247"/>
      <c r="L293" s="247"/>
      <c r="M293" s="247"/>
      <c r="N293" s="247"/>
      <c r="O293" s="247"/>
      <c r="P293" s="247"/>
      <c r="Q293" s="247"/>
      <c r="R293" s="247"/>
      <c r="S293" s="247"/>
      <c r="T293" s="247"/>
      <c r="U293" s="247"/>
      <c r="V293" s="247"/>
      <c r="W293" s="247"/>
      <c r="X293" s="247"/>
      <c r="Y293" s="247"/>
      <c r="Z293" s="247"/>
      <c r="AA293" s="247"/>
      <c r="AB293" s="247"/>
      <c r="AC293" s="247"/>
      <c r="AD293" s="247"/>
      <c r="AE293" s="247"/>
      <c r="AF293" s="247"/>
      <c r="AG293" s="247"/>
    </row>
    <row r="294" spans="1:33" ht="25.5" x14ac:dyDescent="0.2">
      <c r="A294" s="179" t="s">
        <v>215</v>
      </c>
      <c r="B294" s="194" t="s">
        <v>150</v>
      </c>
      <c r="C294" s="246"/>
      <c r="D294" s="247"/>
      <c r="E294" s="247"/>
      <c r="F294" s="247"/>
      <c r="G294" s="247"/>
      <c r="H294" s="247"/>
      <c r="I294" s="247"/>
      <c r="J294" s="247"/>
      <c r="K294" s="247"/>
      <c r="L294" s="247"/>
      <c r="M294" s="247"/>
      <c r="N294" s="247"/>
      <c r="O294" s="247"/>
      <c r="P294" s="247"/>
      <c r="Q294" s="247"/>
      <c r="R294" s="247"/>
      <c r="S294" s="247"/>
      <c r="T294" s="247"/>
      <c r="U294" s="247"/>
      <c r="V294" s="247"/>
      <c r="W294" s="247"/>
      <c r="X294" s="247"/>
      <c r="Y294" s="247"/>
      <c r="Z294" s="247"/>
      <c r="AA294" s="247"/>
      <c r="AB294" s="247"/>
      <c r="AC294" s="247"/>
      <c r="AD294" s="247"/>
      <c r="AE294" s="247"/>
      <c r="AF294" s="247"/>
      <c r="AG294" s="247"/>
    </row>
    <row r="295" spans="1:33" x14ac:dyDescent="0.2">
      <c r="A295" s="179"/>
      <c r="B295" s="245"/>
      <c r="C295" s="248"/>
      <c r="D295" s="230"/>
      <c r="E295" s="230"/>
      <c r="F295" s="230"/>
      <c r="G295" s="230"/>
      <c r="H295" s="230"/>
      <c r="I295" s="230"/>
      <c r="J295" s="230"/>
      <c r="K295" s="230"/>
      <c r="L295" s="230"/>
      <c r="M295" s="230"/>
      <c r="N295" s="230"/>
      <c r="O295" s="230"/>
      <c r="P295" s="230"/>
      <c r="Q295" s="230"/>
      <c r="R295" s="230"/>
      <c r="S295" s="230"/>
      <c r="T295" s="230"/>
      <c r="U295" s="230"/>
      <c r="V295" s="230"/>
      <c r="W295" s="230"/>
      <c r="X295" s="230"/>
      <c r="Y295" s="230"/>
      <c r="Z295" s="230"/>
      <c r="AA295" s="230"/>
      <c r="AB295" s="230"/>
      <c r="AC295" s="230"/>
      <c r="AD295" s="230"/>
      <c r="AE295" s="230"/>
      <c r="AF295" s="230"/>
      <c r="AG295" s="230"/>
    </row>
    <row r="296" spans="1:33" x14ac:dyDescent="0.2">
      <c r="A296" s="179" t="s">
        <v>75</v>
      </c>
      <c r="B296" s="234" t="s">
        <v>50</v>
      </c>
      <c r="C296" s="200" t="s">
        <v>36</v>
      </c>
      <c r="D296" s="224"/>
      <c r="E296" s="224"/>
      <c r="F296" s="224"/>
      <c r="G296" s="224"/>
      <c r="H296" s="224"/>
      <c r="I296" s="224"/>
      <c r="J296" s="224"/>
      <c r="K296" s="224"/>
      <c r="L296" s="224"/>
      <c r="M296" s="224"/>
      <c r="N296" s="224"/>
      <c r="O296" s="224"/>
      <c r="P296" s="224"/>
      <c r="Q296" s="224"/>
      <c r="R296" s="224"/>
      <c r="S296" s="224"/>
      <c r="T296" s="224"/>
      <c r="U296" s="224"/>
      <c r="V296" s="224"/>
      <c r="W296" s="224"/>
      <c r="X296" s="224"/>
      <c r="Y296" s="224"/>
      <c r="Z296" s="224"/>
      <c r="AA296" s="224"/>
      <c r="AB296" s="224"/>
      <c r="AC296" s="224"/>
      <c r="AD296" s="224"/>
      <c r="AE296" s="224"/>
      <c r="AF296" s="224"/>
      <c r="AG296" s="224"/>
    </row>
    <row r="297" spans="1:33" x14ac:dyDescent="0.2">
      <c r="A297" s="179"/>
      <c r="B297" s="249" t="s">
        <v>1031</v>
      </c>
      <c r="C297" s="250">
        <f>SUM(D297:DA297)</f>
        <v>500000</v>
      </c>
      <c r="D297" s="203">
        <v>0</v>
      </c>
      <c r="E297" s="203">
        <v>0</v>
      </c>
      <c r="F297" s="203">
        <v>0</v>
      </c>
      <c r="G297" s="203">
        <v>0</v>
      </c>
      <c r="H297" s="203">
        <v>0</v>
      </c>
      <c r="I297" s="203">
        <v>0</v>
      </c>
      <c r="J297" s="203">
        <v>0</v>
      </c>
      <c r="K297" s="203">
        <v>0</v>
      </c>
      <c r="L297" s="203">
        <v>0</v>
      </c>
      <c r="M297" s="203">
        <v>0</v>
      </c>
      <c r="N297" s="203">
        <v>0</v>
      </c>
      <c r="O297" s="203">
        <v>0</v>
      </c>
      <c r="P297" s="203">
        <v>0</v>
      </c>
      <c r="Q297" s="203">
        <v>0</v>
      </c>
      <c r="R297" s="203">
        <v>0</v>
      </c>
      <c r="S297" s="203">
        <v>0</v>
      </c>
      <c r="T297" s="203">
        <v>0</v>
      </c>
      <c r="U297" s="203">
        <v>0</v>
      </c>
      <c r="V297" s="203">
        <v>0</v>
      </c>
      <c r="W297" s="203">
        <v>0</v>
      </c>
      <c r="X297" s="203">
        <v>0</v>
      </c>
      <c r="Y297" s="203">
        <v>500000</v>
      </c>
      <c r="Z297" s="203">
        <v>0</v>
      </c>
      <c r="AA297" s="203">
        <v>0</v>
      </c>
      <c r="AB297" s="203">
        <v>0</v>
      </c>
      <c r="AC297" s="203">
        <v>0</v>
      </c>
      <c r="AD297" s="203">
        <v>0</v>
      </c>
      <c r="AE297" s="203">
        <v>0</v>
      </c>
      <c r="AF297" s="203">
        <v>0</v>
      </c>
      <c r="AG297" s="203">
        <v>0</v>
      </c>
    </row>
    <row r="298" spans="1:33" x14ac:dyDescent="0.2">
      <c r="A298" s="179"/>
      <c r="B298" s="249" t="s">
        <v>8</v>
      </c>
      <c r="C298" s="251">
        <f>SUM(D298:DA298)</f>
        <v>0</v>
      </c>
      <c r="D298" s="211">
        <v>0</v>
      </c>
      <c r="E298" s="211">
        <v>0</v>
      </c>
      <c r="F298" s="211">
        <v>0</v>
      </c>
      <c r="G298" s="211">
        <v>0</v>
      </c>
      <c r="H298" s="211">
        <v>0</v>
      </c>
      <c r="I298" s="211">
        <v>0</v>
      </c>
      <c r="J298" s="211">
        <v>0</v>
      </c>
      <c r="K298" s="211">
        <v>0</v>
      </c>
      <c r="L298" s="211">
        <v>0</v>
      </c>
      <c r="M298" s="211">
        <v>0</v>
      </c>
      <c r="N298" s="211">
        <v>0</v>
      </c>
      <c r="O298" s="211">
        <v>0</v>
      </c>
      <c r="P298" s="211">
        <v>0</v>
      </c>
      <c r="Q298" s="211">
        <v>0</v>
      </c>
      <c r="R298" s="211">
        <v>0</v>
      </c>
      <c r="S298" s="211">
        <v>0</v>
      </c>
      <c r="T298" s="211">
        <v>0</v>
      </c>
      <c r="U298" s="211">
        <v>0</v>
      </c>
      <c r="V298" s="211">
        <v>0</v>
      </c>
      <c r="W298" s="211">
        <v>0</v>
      </c>
      <c r="X298" s="211">
        <v>0</v>
      </c>
      <c r="Y298" s="211">
        <v>0</v>
      </c>
      <c r="Z298" s="211">
        <v>0</v>
      </c>
      <c r="AA298" s="211">
        <v>0</v>
      </c>
      <c r="AB298" s="211">
        <v>0</v>
      </c>
      <c r="AC298" s="211">
        <v>0</v>
      </c>
      <c r="AD298" s="211">
        <v>0</v>
      </c>
      <c r="AE298" s="211">
        <v>0</v>
      </c>
      <c r="AF298" s="211">
        <v>0</v>
      </c>
      <c r="AG298" s="211">
        <v>0</v>
      </c>
    </row>
    <row r="299" spans="1:33" ht="13.5" thickBot="1" x14ac:dyDescent="0.25">
      <c r="A299" s="179" t="s">
        <v>76</v>
      </c>
      <c r="B299" s="214" t="s">
        <v>218</v>
      </c>
      <c r="C299" s="268">
        <f>SUM(D299:DA299)</f>
        <v>500000</v>
      </c>
      <c r="D299" s="265">
        <f>SUM(D297:D298)</f>
        <v>0</v>
      </c>
      <c r="E299" s="265">
        <f t="shared" ref="E299:AG299" si="51">SUM(E297:E298)</f>
        <v>0</v>
      </c>
      <c r="F299" s="265">
        <f t="shared" si="51"/>
        <v>0</v>
      </c>
      <c r="G299" s="265">
        <f t="shared" si="51"/>
        <v>0</v>
      </c>
      <c r="H299" s="265">
        <f t="shared" si="51"/>
        <v>0</v>
      </c>
      <c r="I299" s="265">
        <f t="shared" si="51"/>
        <v>0</v>
      </c>
      <c r="J299" s="265">
        <f t="shared" si="51"/>
        <v>0</v>
      </c>
      <c r="K299" s="265">
        <f t="shared" si="51"/>
        <v>0</v>
      </c>
      <c r="L299" s="265">
        <f t="shared" si="51"/>
        <v>0</v>
      </c>
      <c r="M299" s="265">
        <f t="shared" si="51"/>
        <v>0</v>
      </c>
      <c r="N299" s="265">
        <f t="shared" si="51"/>
        <v>0</v>
      </c>
      <c r="O299" s="265">
        <f t="shared" si="51"/>
        <v>0</v>
      </c>
      <c r="P299" s="265">
        <f t="shared" si="51"/>
        <v>0</v>
      </c>
      <c r="Q299" s="265">
        <f t="shared" si="51"/>
        <v>0</v>
      </c>
      <c r="R299" s="265">
        <f t="shared" si="51"/>
        <v>0</v>
      </c>
      <c r="S299" s="265">
        <f t="shared" si="51"/>
        <v>0</v>
      </c>
      <c r="T299" s="265">
        <f t="shared" si="51"/>
        <v>0</v>
      </c>
      <c r="U299" s="265">
        <f t="shared" si="51"/>
        <v>0</v>
      </c>
      <c r="V299" s="265">
        <f t="shared" si="51"/>
        <v>0</v>
      </c>
      <c r="W299" s="265">
        <f t="shared" si="51"/>
        <v>0</v>
      </c>
      <c r="X299" s="265">
        <f t="shared" si="51"/>
        <v>0</v>
      </c>
      <c r="Y299" s="265">
        <f t="shared" si="51"/>
        <v>500000</v>
      </c>
      <c r="Z299" s="265">
        <f t="shared" si="51"/>
        <v>0</v>
      </c>
      <c r="AA299" s="265">
        <f t="shared" si="51"/>
        <v>0</v>
      </c>
      <c r="AB299" s="265">
        <f t="shared" si="51"/>
        <v>0</v>
      </c>
      <c r="AC299" s="265">
        <f t="shared" si="51"/>
        <v>0</v>
      </c>
      <c r="AD299" s="265">
        <f t="shared" si="51"/>
        <v>0</v>
      </c>
      <c r="AE299" s="265">
        <f t="shared" si="51"/>
        <v>0</v>
      </c>
      <c r="AF299" s="265">
        <f t="shared" si="51"/>
        <v>0</v>
      </c>
      <c r="AG299" s="265">
        <f t="shared" si="51"/>
        <v>0</v>
      </c>
    </row>
    <row r="300" spans="1:33" x14ac:dyDescent="0.2">
      <c r="B300" s="254"/>
      <c r="C300" s="205"/>
      <c r="D300" s="230"/>
      <c r="E300" s="230"/>
      <c r="F300" s="230"/>
      <c r="G300" s="230"/>
      <c r="H300" s="230"/>
      <c r="I300" s="230"/>
      <c r="J300" s="230"/>
      <c r="K300" s="230"/>
      <c r="L300" s="230"/>
      <c r="M300" s="230"/>
      <c r="N300" s="230"/>
      <c r="O300" s="230"/>
      <c r="P300" s="230"/>
      <c r="Q300" s="230"/>
      <c r="R300" s="230"/>
      <c r="S300" s="230"/>
      <c r="T300" s="230"/>
      <c r="U300" s="230"/>
      <c r="V300" s="230"/>
      <c r="W300" s="230"/>
      <c r="X300" s="230"/>
      <c r="Y300" s="230"/>
      <c r="Z300" s="230"/>
      <c r="AA300" s="230"/>
      <c r="AB300" s="230"/>
      <c r="AC300" s="230"/>
      <c r="AD300" s="230"/>
      <c r="AE300" s="230"/>
      <c r="AF300" s="230"/>
      <c r="AG300" s="230"/>
    </row>
    <row r="301" spans="1:33" ht="13.5" thickBot="1" x14ac:dyDescent="0.25">
      <c r="B301" s="269" t="s">
        <v>170</v>
      </c>
      <c r="C301" s="205"/>
      <c r="D301" s="230"/>
      <c r="E301" s="230"/>
      <c r="F301" s="230"/>
      <c r="G301" s="230"/>
      <c r="H301" s="230"/>
      <c r="I301" s="230"/>
      <c r="J301" s="230"/>
      <c r="K301" s="230"/>
      <c r="L301" s="230"/>
      <c r="M301" s="230"/>
      <c r="N301" s="230"/>
      <c r="O301" s="230"/>
      <c r="P301" s="230"/>
      <c r="Q301" s="230"/>
      <c r="R301" s="230"/>
      <c r="S301" s="230"/>
      <c r="T301" s="230"/>
      <c r="U301" s="230"/>
      <c r="V301" s="230"/>
      <c r="W301" s="230"/>
      <c r="X301" s="230"/>
      <c r="Y301" s="230"/>
      <c r="Z301" s="230"/>
      <c r="AA301" s="230"/>
      <c r="AB301" s="230"/>
      <c r="AC301" s="230"/>
      <c r="AD301" s="230"/>
      <c r="AE301" s="230"/>
      <c r="AF301" s="230"/>
      <c r="AG301" s="230"/>
    </row>
    <row r="302" spans="1:33" ht="15" x14ac:dyDescent="0.2">
      <c r="B302" s="252" t="s">
        <v>85</v>
      </c>
      <c r="C302" s="255" t="s">
        <v>36</v>
      </c>
      <c r="D302" s="225"/>
      <c r="E302" s="225"/>
      <c r="F302" s="225"/>
      <c r="G302" s="225"/>
      <c r="H302" s="225"/>
      <c r="I302" s="225"/>
      <c r="J302" s="225"/>
      <c r="K302" s="225"/>
      <c r="L302" s="225"/>
      <c r="M302" s="225"/>
      <c r="N302" s="225"/>
      <c r="O302" s="225"/>
      <c r="P302" s="225"/>
      <c r="Q302" s="225"/>
      <c r="R302" s="225"/>
      <c r="S302" s="225"/>
      <c r="T302" s="225"/>
      <c r="U302" s="225"/>
      <c r="V302" s="225"/>
      <c r="W302" s="225"/>
      <c r="X302" s="225"/>
      <c r="Y302" s="225"/>
      <c r="Z302" s="225"/>
      <c r="AA302" s="225"/>
      <c r="AB302" s="225"/>
      <c r="AC302" s="225"/>
      <c r="AD302" s="225"/>
      <c r="AE302" s="225"/>
      <c r="AF302" s="225"/>
      <c r="AG302" s="225"/>
    </row>
    <row r="303" spans="1:33" ht="63.75" x14ac:dyDescent="0.2">
      <c r="A303" s="185" t="s">
        <v>77</v>
      </c>
      <c r="B303" s="228" t="str">
        <f>B151</f>
        <v>Source of Funds</v>
      </c>
      <c r="C303" s="233" t="str">
        <f t="shared" ref="C303:AG303" si="52">C164</f>
        <v>N/A</v>
      </c>
      <c r="D303" s="232" t="str">
        <f t="shared" si="52"/>
        <v>General Appropriation Programs</v>
      </c>
      <c r="E303" s="232" t="str">
        <f t="shared" si="52"/>
        <v>Proviso 118.14(B)(42)(a-c)</v>
      </c>
      <c r="F303" s="232" t="str">
        <f t="shared" si="52"/>
        <v>Indirect Cost Recovery</v>
      </c>
      <c r="G303" s="232" t="str">
        <f t="shared" si="52"/>
        <v>Section 40-1-180 fines and costs</v>
      </c>
      <c r="H303" s="232" t="str">
        <f t="shared" si="52"/>
        <v>Fire Insurance Premium Tax</v>
      </c>
      <c r="I303" s="232" t="str">
        <f t="shared" si="52"/>
        <v>Act 60 - Fire Insurance Premium Tax</v>
      </c>
      <c r="J303" s="232" t="str">
        <f t="shared" si="52"/>
        <v>Immigration Fees</v>
      </c>
      <c r="K303" s="232" t="str">
        <f t="shared" si="52"/>
        <v>Elevators/Amusement Ride Fees</v>
      </c>
      <c r="L303" s="232" t="str">
        <f t="shared" si="52"/>
        <v>State Fire Marshal Fees</v>
      </c>
      <c r="M303" s="232" t="str">
        <f t="shared" si="52"/>
        <v>Fire Academy Fees</v>
      </c>
      <c r="N303" s="232" t="str">
        <f t="shared" si="52"/>
        <v>Building Code, Manuf'd Housing and Boiler Safety Program  Fees</v>
      </c>
      <c r="O303" s="232" t="str">
        <f t="shared" si="52"/>
        <v>Donations-Fire Academy</v>
      </c>
      <c r="P303" s="232" t="str">
        <f t="shared" si="52"/>
        <v>State Fire Marshal Fees</v>
      </c>
      <c r="Q303" s="232" t="str">
        <f t="shared" si="52"/>
        <v>Professional and Occupational Licensee Fees</v>
      </c>
      <c r="R303" s="232" t="str">
        <f t="shared" si="52"/>
        <v>State Fire Marshal - Pyro and LP Gas Fees</v>
      </c>
      <c r="S303" s="232" t="str">
        <f t="shared" si="52"/>
        <v>Federal Grants-Unrestricted R3601PAFL016 (matching funds for 2015 Flood Grant)</v>
      </c>
      <c r="T303" s="232" t="str">
        <f t="shared" si="52"/>
        <v>Sale of Surplus Materials &amp; Supplies</v>
      </c>
      <c r="U303" s="232" t="str">
        <f t="shared" si="52"/>
        <v xml:space="preserve">Refunds from Prior Year Expenditures </v>
      </c>
      <c r="V303" s="232" t="str">
        <f t="shared" si="52"/>
        <v>Insurance Claims</v>
      </c>
      <c r="W303" s="232" t="str">
        <f t="shared" si="52"/>
        <v>Research and Education Funds</v>
      </c>
      <c r="X303" s="232" t="str">
        <f t="shared" si="52"/>
        <v>Real Estate Appraisal Registry</v>
      </c>
      <c r="Y303" s="232" t="str">
        <f t="shared" si="52"/>
        <v>V-Safe Grant Funds</v>
      </c>
      <c r="Z303" s="232" t="str">
        <f t="shared" si="52"/>
        <v>Real Estate Vacation Time Share Recovery Fund</v>
      </c>
      <c r="AA303" s="232" t="str">
        <f t="shared" si="52"/>
        <v>Capital Projects</v>
      </c>
      <c r="AB303" s="232" t="str">
        <f t="shared" si="52"/>
        <v>Auctioneer Recovery Funds</v>
      </c>
      <c r="AC303" s="232" t="str">
        <f t="shared" si="52"/>
        <v>State Fire Training FEMA Grant</v>
      </c>
      <c r="AD303" s="232" t="str">
        <f t="shared" si="52"/>
        <v>OSHA 21D Grant</v>
      </c>
      <c r="AE303" s="232" t="str">
        <f t="shared" si="52"/>
        <v>OSHA 23G Grant</v>
      </c>
      <c r="AF303" s="232" t="str">
        <f t="shared" si="52"/>
        <v>OSHA BLS Grant</v>
      </c>
      <c r="AG303" s="232" t="str">
        <f t="shared" si="52"/>
        <v>Public Assistance Flood 2015 R3601PAFL016</v>
      </c>
    </row>
    <row r="304" spans="1:33" x14ac:dyDescent="0.2">
      <c r="A304" s="179" t="s">
        <v>78</v>
      </c>
      <c r="B304" s="194" t="str">
        <f>B152</f>
        <v xml:space="preserve">Recurring or one-time? </v>
      </c>
      <c r="C304" s="233" t="str">
        <f t="shared" ref="C304:AG304" si="53">C165</f>
        <v>N/A</v>
      </c>
      <c r="D304" s="232" t="str">
        <f t="shared" si="53"/>
        <v>Recurring</v>
      </c>
      <c r="E304" s="232" t="str">
        <f t="shared" si="53"/>
        <v>One-Time</v>
      </c>
      <c r="F304" s="232" t="str">
        <f t="shared" si="53"/>
        <v>Recurring</v>
      </c>
      <c r="G304" s="232" t="str">
        <f t="shared" si="53"/>
        <v>Recurring</v>
      </c>
      <c r="H304" s="232" t="str">
        <f t="shared" si="53"/>
        <v>Recurring</v>
      </c>
      <c r="I304" s="232" t="str">
        <f t="shared" si="53"/>
        <v>Recurring</v>
      </c>
      <c r="J304" s="232" t="str">
        <f t="shared" si="53"/>
        <v>Recurring</v>
      </c>
      <c r="K304" s="232" t="str">
        <f t="shared" si="53"/>
        <v>Recurring</v>
      </c>
      <c r="L304" s="232" t="str">
        <f t="shared" si="53"/>
        <v>Recurring</v>
      </c>
      <c r="M304" s="232" t="str">
        <f t="shared" si="53"/>
        <v>Recurring</v>
      </c>
      <c r="N304" s="232" t="str">
        <f t="shared" si="53"/>
        <v>Recurring</v>
      </c>
      <c r="O304" s="232" t="str">
        <f t="shared" si="53"/>
        <v>One-Time</v>
      </c>
      <c r="P304" s="232" t="str">
        <f t="shared" si="53"/>
        <v>Recurring</v>
      </c>
      <c r="Q304" s="232" t="str">
        <f t="shared" si="53"/>
        <v>Recurring</v>
      </c>
      <c r="R304" s="232" t="str">
        <f t="shared" si="53"/>
        <v>Recurring</v>
      </c>
      <c r="S304" s="232" t="str">
        <f t="shared" si="53"/>
        <v>Recurring</v>
      </c>
      <c r="T304" s="232" t="str">
        <f t="shared" si="53"/>
        <v>Recurring</v>
      </c>
      <c r="U304" s="232" t="str">
        <f t="shared" si="53"/>
        <v>Recurring</v>
      </c>
      <c r="V304" s="232" t="str">
        <f t="shared" si="53"/>
        <v>Recurring</v>
      </c>
      <c r="W304" s="232" t="str">
        <f t="shared" si="53"/>
        <v>Recurring</v>
      </c>
      <c r="X304" s="232" t="str">
        <f t="shared" si="53"/>
        <v>Recurring</v>
      </c>
      <c r="Y304" s="232" t="str">
        <f t="shared" si="53"/>
        <v>One-Time</v>
      </c>
      <c r="Z304" s="232" t="str">
        <f t="shared" si="53"/>
        <v>Recurring</v>
      </c>
      <c r="AA304" s="232" t="str">
        <f t="shared" si="53"/>
        <v>Recurring</v>
      </c>
      <c r="AB304" s="232" t="str">
        <f t="shared" si="53"/>
        <v>Recurring</v>
      </c>
      <c r="AC304" s="232" t="str">
        <f t="shared" si="53"/>
        <v>One-Time</v>
      </c>
      <c r="AD304" s="232" t="str">
        <f t="shared" si="53"/>
        <v>One-Time</v>
      </c>
      <c r="AE304" s="232" t="str">
        <f t="shared" si="53"/>
        <v>One-Time</v>
      </c>
      <c r="AF304" s="232" t="str">
        <f t="shared" si="53"/>
        <v>One-Time</v>
      </c>
      <c r="AG304" s="232" t="str">
        <f t="shared" si="53"/>
        <v>One-Time</v>
      </c>
    </row>
    <row r="305" spans="1:33" x14ac:dyDescent="0.2">
      <c r="A305" s="179" t="s">
        <v>79</v>
      </c>
      <c r="B305" s="194" t="str">
        <f>B153</f>
        <v>State, Federal, or Other?</v>
      </c>
      <c r="C305" s="233" t="str">
        <f t="shared" ref="C305:AG305" si="54">C166</f>
        <v>N/A</v>
      </c>
      <c r="D305" s="232" t="str">
        <f t="shared" si="54"/>
        <v>State</v>
      </c>
      <c r="E305" s="232" t="str">
        <f t="shared" si="54"/>
        <v>State</v>
      </c>
      <c r="F305" s="232" t="str">
        <f t="shared" si="54"/>
        <v>Other</v>
      </c>
      <c r="G305" s="232" t="str">
        <f t="shared" si="54"/>
        <v>Other</v>
      </c>
      <c r="H305" s="232" t="str">
        <f t="shared" si="54"/>
        <v>Other</v>
      </c>
      <c r="I305" s="232" t="str">
        <f t="shared" si="54"/>
        <v>Other</v>
      </c>
      <c r="J305" s="232" t="str">
        <f t="shared" si="54"/>
        <v>Other</v>
      </c>
      <c r="K305" s="232" t="str">
        <f t="shared" si="54"/>
        <v>Other</v>
      </c>
      <c r="L305" s="232" t="str">
        <f t="shared" si="54"/>
        <v>Other</v>
      </c>
      <c r="M305" s="232" t="str">
        <f t="shared" si="54"/>
        <v>Other</v>
      </c>
      <c r="N305" s="232" t="str">
        <f t="shared" si="54"/>
        <v>Other</v>
      </c>
      <c r="O305" s="232" t="str">
        <f t="shared" si="54"/>
        <v>Other</v>
      </c>
      <c r="P305" s="232" t="str">
        <f t="shared" si="54"/>
        <v>Other</v>
      </c>
      <c r="Q305" s="232" t="str">
        <f t="shared" si="54"/>
        <v>Other</v>
      </c>
      <c r="R305" s="232" t="str">
        <f t="shared" si="54"/>
        <v>Other</v>
      </c>
      <c r="S305" s="232" t="str">
        <f t="shared" si="54"/>
        <v>Other</v>
      </c>
      <c r="T305" s="232" t="str">
        <f t="shared" si="54"/>
        <v>Other</v>
      </c>
      <c r="U305" s="232" t="str">
        <f t="shared" si="54"/>
        <v>Other</v>
      </c>
      <c r="V305" s="232" t="str">
        <f t="shared" si="54"/>
        <v>Other</v>
      </c>
      <c r="W305" s="232" t="str">
        <f t="shared" si="54"/>
        <v>Other</v>
      </c>
      <c r="X305" s="232" t="str">
        <f t="shared" si="54"/>
        <v>Other</v>
      </c>
      <c r="Y305" s="232" t="str">
        <f t="shared" si="54"/>
        <v>Other</v>
      </c>
      <c r="Z305" s="232" t="str">
        <f t="shared" si="54"/>
        <v>Other</v>
      </c>
      <c r="AA305" s="232" t="str">
        <f t="shared" si="54"/>
        <v>Other</v>
      </c>
      <c r="AB305" s="232" t="str">
        <f t="shared" si="54"/>
        <v>Other</v>
      </c>
      <c r="AC305" s="232" t="str">
        <f t="shared" si="54"/>
        <v>Federal</v>
      </c>
      <c r="AD305" s="232" t="str">
        <f t="shared" si="54"/>
        <v>Federal</v>
      </c>
      <c r="AE305" s="232" t="str">
        <f t="shared" si="54"/>
        <v>Federal</v>
      </c>
      <c r="AF305" s="232" t="str">
        <f t="shared" si="54"/>
        <v>Federal</v>
      </c>
      <c r="AG305" s="232" t="str">
        <f t="shared" si="54"/>
        <v>Federal</v>
      </c>
    </row>
    <row r="306" spans="1:33" ht="76.5" x14ac:dyDescent="0.2">
      <c r="A306" s="185" t="s">
        <v>80</v>
      </c>
      <c r="B306" s="194" t="str">
        <f>B154</f>
        <v>State Funded Program Description in the General Appropriations Act</v>
      </c>
      <c r="C306" s="256" t="str">
        <f t="shared" ref="C306:AG306" si="55">C186</f>
        <v>N/A</v>
      </c>
      <c r="D306" s="253" t="str">
        <f t="shared" si="55"/>
        <v>II.A. OSHA Voluntary II.B. Occupational Safety &amp; Health, III. Employee Benefits</v>
      </c>
      <c r="E306" s="253" t="str">
        <f t="shared" si="55"/>
        <v>II.D. State Fire Marshal</v>
      </c>
      <c r="F306" s="253" t="str">
        <f t="shared" si="55"/>
        <v>II. A. OSHA Voluntary, II.B. Occupational Safety &amp; Health</v>
      </c>
      <c r="G306" s="253" t="str">
        <f t="shared" si="55"/>
        <v>II. G. Labor Services, II.B. Occupational Safety &amp; Health , II.D. State Fire Marshal, II.H. Building Codes</v>
      </c>
      <c r="H306" s="253" t="str">
        <f t="shared" si="55"/>
        <v>II.D. State Fire Marshal, II.C. Fire Academy, II. H. Building Codes, III.Employee Benefits</v>
      </c>
      <c r="I306" s="253" t="str">
        <f t="shared" si="55"/>
        <v>II. C. Fire Academy</v>
      </c>
      <c r="J306" s="253" t="str">
        <f t="shared" si="55"/>
        <v>I. Administration</v>
      </c>
      <c r="K306" s="253" t="str">
        <f t="shared" si="55"/>
        <v>II.E. Elevators/Amusement, III. Employee Benefits</v>
      </c>
      <c r="L306" s="253" t="str">
        <f t="shared" si="55"/>
        <v>II.D. State Fire Marshal</v>
      </c>
      <c r="M306" s="253" t="str">
        <f t="shared" si="55"/>
        <v>II.C. Fire Academy, III. Employee Benefits</v>
      </c>
      <c r="N306" s="253" t="str">
        <f t="shared" si="55"/>
        <v>II.H.Building Codes, III. Employee Benefits</v>
      </c>
      <c r="O306" s="253" t="str">
        <f t="shared" si="55"/>
        <v>II.C. Fire Academy</v>
      </c>
      <c r="P306" s="253" t="str">
        <f t="shared" si="55"/>
        <v>II. D. State Fire Marshal, III.Employee Benefits</v>
      </c>
      <c r="Q306" s="253" t="str">
        <f t="shared" si="55"/>
        <v>II.F. Prof &amp; Occup, III. Employee Benefits</v>
      </c>
      <c r="R306" s="253" t="str">
        <f t="shared" si="55"/>
        <v>II.D. State Fire Marshal, III. Employee Benefits</v>
      </c>
      <c r="S306" s="253" t="str">
        <f t="shared" si="55"/>
        <v>II.C. Fire Academy, III.Employee Benefits</v>
      </c>
      <c r="T306" s="253" t="str">
        <f t="shared" si="55"/>
        <v>I. Administration</v>
      </c>
      <c r="U306" s="253" t="str">
        <f t="shared" si="55"/>
        <v>I. Administration, II.F. Pol &amp; Occup</v>
      </c>
      <c r="V306" s="253" t="str">
        <f t="shared" si="55"/>
        <v>II. D. State Fire Marshal</v>
      </c>
      <c r="W306" s="253" t="str">
        <f t="shared" si="55"/>
        <v>II. F. Prof &amp; Occup</v>
      </c>
      <c r="X306" s="253" t="str">
        <f t="shared" si="55"/>
        <v>II. F. Prof &amp; Occup</v>
      </c>
      <c r="Y306" s="253" t="str">
        <f t="shared" si="55"/>
        <v>II.D. State Fire Marshal</v>
      </c>
      <c r="Z306" s="253" t="str">
        <f t="shared" si="55"/>
        <v>II. F. Prof &amp; Occup</v>
      </c>
      <c r="AA306" s="253" t="str">
        <f t="shared" si="55"/>
        <v>II.C. Fire Academy</v>
      </c>
      <c r="AB306" s="253" t="str">
        <f t="shared" si="55"/>
        <v>II. F. Prof &amp; Occup</v>
      </c>
      <c r="AC306" s="253" t="str">
        <f t="shared" si="55"/>
        <v xml:space="preserve">II. C. Fire Academy, III.Employee Benefits </v>
      </c>
      <c r="AD306" s="253" t="str">
        <f t="shared" si="55"/>
        <v>II.A. OSHA Voluntary, III. Employee Benefits</v>
      </c>
      <c r="AE306" s="253" t="str">
        <f t="shared" si="55"/>
        <v>II.A. OSHA Voluntary  and II.B. Occupational Safety &amp; Health III. Employee Benefits</v>
      </c>
      <c r="AF306" s="253" t="str">
        <f t="shared" si="55"/>
        <v>II.B. Occupational Safety &amp; Health, III. Employee Benefits</v>
      </c>
      <c r="AG306" s="253" t="str">
        <f t="shared" si="55"/>
        <v>II.C. Fire Academy, III.Employee Benefits</v>
      </c>
    </row>
    <row r="307" spans="1:33" x14ac:dyDescent="0.2">
      <c r="A307" s="179" t="s">
        <v>81</v>
      </c>
      <c r="B307" s="194" t="str">
        <f t="shared" ref="B307:AG307" si="56">B193</f>
        <v xml:space="preserve">Total allowed to spend by END of 2017-18  </v>
      </c>
      <c r="C307" s="202">
        <f t="shared" si="56"/>
        <v>42268375.310000002</v>
      </c>
      <c r="D307" s="198">
        <f t="shared" si="56"/>
        <v>1416609.39</v>
      </c>
      <c r="E307" s="198">
        <f t="shared" si="56"/>
        <v>0</v>
      </c>
      <c r="F307" s="198">
        <f t="shared" si="56"/>
        <v>0</v>
      </c>
      <c r="G307" s="198">
        <f t="shared" si="56"/>
        <v>0</v>
      </c>
      <c r="H307" s="198">
        <f t="shared" si="56"/>
        <v>14867498.17</v>
      </c>
      <c r="I307" s="198">
        <f t="shared" si="56"/>
        <v>0</v>
      </c>
      <c r="J307" s="198">
        <f t="shared" si="56"/>
        <v>0</v>
      </c>
      <c r="K307" s="198">
        <f t="shared" si="56"/>
        <v>0</v>
      </c>
      <c r="L307" s="198">
        <f t="shared" si="56"/>
        <v>0</v>
      </c>
      <c r="M307" s="198">
        <f t="shared" si="56"/>
        <v>0</v>
      </c>
      <c r="N307" s="198">
        <f t="shared" si="56"/>
        <v>0</v>
      </c>
      <c r="O307" s="198">
        <f t="shared" si="56"/>
        <v>0</v>
      </c>
      <c r="P307" s="198">
        <f t="shared" si="56"/>
        <v>21921432</v>
      </c>
      <c r="Q307" s="198">
        <f t="shared" si="56"/>
        <v>0</v>
      </c>
      <c r="R307" s="198">
        <f t="shared" si="56"/>
        <v>0</v>
      </c>
      <c r="S307" s="198">
        <f t="shared" si="56"/>
        <v>0</v>
      </c>
      <c r="T307" s="198">
        <f t="shared" si="56"/>
        <v>0</v>
      </c>
      <c r="U307" s="198">
        <f t="shared" si="56"/>
        <v>0</v>
      </c>
      <c r="V307" s="198">
        <f t="shared" si="56"/>
        <v>0</v>
      </c>
      <c r="W307" s="198">
        <f t="shared" si="56"/>
        <v>200000</v>
      </c>
      <c r="X307" s="198">
        <f t="shared" si="56"/>
        <v>0</v>
      </c>
      <c r="Y307" s="198">
        <f t="shared" si="56"/>
        <v>500000</v>
      </c>
      <c r="Z307" s="198">
        <f t="shared" si="56"/>
        <v>0</v>
      </c>
      <c r="AA307" s="198">
        <f t="shared" si="56"/>
        <v>437909.75</v>
      </c>
      <c r="AB307" s="198">
        <f t="shared" si="56"/>
        <v>0</v>
      </c>
      <c r="AC307" s="198">
        <f t="shared" si="56"/>
        <v>41583</v>
      </c>
      <c r="AD307" s="198">
        <f t="shared" si="56"/>
        <v>793442</v>
      </c>
      <c r="AE307" s="198">
        <f t="shared" si="56"/>
        <v>2007401</v>
      </c>
      <c r="AF307" s="198">
        <f t="shared" si="56"/>
        <v>82500</v>
      </c>
      <c r="AG307" s="198">
        <f t="shared" si="56"/>
        <v>0</v>
      </c>
    </row>
    <row r="308" spans="1:33" x14ac:dyDescent="0.2">
      <c r="A308" s="179" t="s">
        <v>82</v>
      </c>
      <c r="B308" s="194" t="s">
        <v>86</v>
      </c>
      <c r="C308" s="202">
        <f>C292</f>
        <v>41727272.729999997</v>
      </c>
      <c r="D308" s="198">
        <f t="shared" ref="D308:AG308" si="57">D292</f>
        <v>1416609</v>
      </c>
      <c r="E308" s="198">
        <f t="shared" si="57"/>
        <v>0</v>
      </c>
      <c r="F308" s="198">
        <f t="shared" si="57"/>
        <v>0</v>
      </c>
      <c r="G308" s="198">
        <f t="shared" si="57"/>
        <v>0</v>
      </c>
      <c r="H308" s="198">
        <f t="shared" si="57"/>
        <v>14339492.970000001</v>
      </c>
      <c r="I308" s="198">
        <f t="shared" si="57"/>
        <v>0</v>
      </c>
      <c r="J308" s="198">
        <f t="shared" si="57"/>
        <v>0</v>
      </c>
      <c r="K308" s="198">
        <f t="shared" si="57"/>
        <v>0</v>
      </c>
      <c r="L308" s="198">
        <f t="shared" si="57"/>
        <v>0</v>
      </c>
      <c r="M308" s="198">
        <f t="shared" si="57"/>
        <v>0</v>
      </c>
      <c r="N308" s="198">
        <f t="shared" si="57"/>
        <v>0</v>
      </c>
      <c r="O308" s="198">
        <f t="shared" si="57"/>
        <v>0</v>
      </c>
      <c r="P308" s="198">
        <f t="shared" si="57"/>
        <v>22365936</v>
      </c>
      <c r="Q308" s="198">
        <f t="shared" si="57"/>
        <v>0</v>
      </c>
      <c r="R308" s="198">
        <f t="shared" si="57"/>
        <v>0</v>
      </c>
      <c r="S308" s="198">
        <f t="shared" si="57"/>
        <v>0</v>
      </c>
      <c r="T308" s="198">
        <f t="shared" si="57"/>
        <v>0</v>
      </c>
      <c r="U308" s="198">
        <f t="shared" si="57"/>
        <v>0</v>
      </c>
      <c r="V308" s="198">
        <f t="shared" si="57"/>
        <v>0</v>
      </c>
      <c r="W308" s="198">
        <f t="shared" si="57"/>
        <v>140842</v>
      </c>
      <c r="X308" s="198">
        <f t="shared" si="57"/>
        <v>50000</v>
      </c>
      <c r="Y308" s="198">
        <f t="shared" si="57"/>
        <v>0</v>
      </c>
      <c r="Z308" s="198">
        <f t="shared" si="57"/>
        <v>0</v>
      </c>
      <c r="AA308" s="198">
        <f t="shared" si="57"/>
        <v>437909.75</v>
      </c>
      <c r="AB308" s="198">
        <f t="shared" si="57"/>
        <v>10000</v>
      </c>
      <c r="AC308" s="198">
        <f t="shared" si="57"/>
        <v>41583.01</v>
      </c>
      <c r="AD308" s="198">
        <f t="shared" si="57"/>
        <v>788200</v>
      </c>
      <c r="AE308" s="198">
        <f t="shared" si="57"/>
        <v>2054700</v>
      </c>
      <c r="AF308" s="198">
        <f t="shared" si="57"/>
        <v>82000</v>
      </c>
      <c r="AG308" s="198">
        <f t="shared" si="57"/>
        <v>0</v>
      </c>
    </row>
    <row r="309" spans="1:33" s="181" customFormat="1" x14ac:dyDescent="0.2">
      <c r="A309" s="179" t="s">
        <v>83</v>
      </c>
      <c r="B309" s="194" t="s">
        <v>87</v>
      </c>
      <c r="C309" s="210">
        <f>C299</f>
        <v>500000</v>
      </c>
      <c r="D309" s="213">
        <f t="shared" ref="D309:AG309" si="58">D299</f>
        <v>0</v>
      </c>
      <c r="E309" s="213">
        <f t="shared" si="58"/>
        <v>0</v>
      </c>
      <c r="F309" s="213">
        <f t="shared" si="58"/>
        <v>0</v>
      </c>
      <c r="G309" s="213">
        <f t="shared" si="58"/>
        <v>0</v>
      </c>
      <c r="H309" s="213">
        <f t="shared" si="58"/>
        <v>0</v>
      </c>
      <c r="I309" s="213">
        <f t="shared" si="58"/>
        <v>0</v>
      </c>
      <c r="J309" s="213">
        <f t="shared" si="58"/>
        <v>0</v>
      </c>
      <c r="K309" s="213">
        <f t="shared" si="58"/>
        <v>0</v>
      </c>
      <c r="L309" s="213">
        <f t="shared" si="58"/>
        <v>0</v>
      </c>
      <c r="M309" s="213">
        <f t="shared" si="58"/>
        <v>0</v>
      </c>
      <c r="N309" s="213">
        <f t="shared" si="58"/>
        <v>0</v>
      </c>
      <c r="O309" s="213">
        <f t="shared" si="58"/>
        <v>0</v>
      </c>
      <c r="P309" s="213">
        <f t="shared" si="58"/>
        <v>0</v>
      </c>
      <c r="Q309" s="213">
        <f t="shared" si="58"/>
        <v>0</v>
      </c>
      <c r="R309" s="213">
        <f t="shared" si="58"/>
        <v>0</v>
      </c>
      <c r="S309" s="213">
        <f t="shared" si="58"/>
        <v>0</v>
      </c>
      <c r="T309" s="213">
        <f t="shared" si="58"/>
        <v>0</v>
      </c>
      <c r="U309" s="213">
        <f t="shared" si="58"/>
        <v>0</v>
      </c>
      <c r="V309" s="213">
        <f t="shared" si="58"/>
        <v>0</v>
      </c>
      <c r="W309" s="213">
        <f t="shared" si="58"/>
        <v>0</v>
      </c>
      <c r="X309" s="213">
        <f t="shared" si="58"/>
        <v>0</v>
      </c>
      <c r="Y309" s="213">
        <f t="shared" si="58"/>
        <v>500000</v>
      </c>
      <c r="Z309" s="213">
        <f t="shared" si="58"/>
        <v>0</v>
      </c>
      <c r="AA309" s="213">
        <f t="shared" si="58"/>
        <v>0</v>
      </c>
      <c r="AB309" s="213">
        <f t="shared" si="58"/>
        <v>0</v>
      </c>
      <c r="AC309" s="213">
        <f t="shared" si="58"/>
        <v>0</v>
      </c>
      <c r="AD309" s="213">
        <f t="shared" si="58"/>
        <v>0</v>
      </c>
      <c r="AE309" s="213">
        <f t="shared" si="58"/>
        <v>0</v>
      </c>
      <c r="AF309" s="213">
        <f t="shared" si="58"/>
        <v>0</v>
      </c>
      <c r="AG309" s="213">
        <f t="shared" si="58"/>
        <v>0</v>
      </c>
    </row>
    <row r="310" spans="1:33" ht="13.5" thickBot="1" x14ac:dyDescent="0.25">
      <c r="A310" s="179" t="s">
        <v>84</v>
      </c>
      <c r="B310" s="222" t="s">
        <v>88</v>
      </c>
      <c r="C310" s="271">
        <f>C307-C308-C309</f>
        <v>41102.580000005662</v>
      </c>
      <c r="D310" s="272">
        <f t="shared" ref="D310:AG310" si="59">D307-D308-D309</f>
        <v>0.38999999989755452</v>
      </c>
      <c r="E310" s="272">
        <f t="shared" si="59"/>
        <v>0</v>
      </c>
      <c r="F310" s="272">
        <f t="shared" si="59"/>
        <v>0</v>
      </c>
      <c r="G310" s="272">
        <f t="shared" si="59"/>
        <v>0</v>
      </c>
      <c r="H310" s="272">
        <f t="shared" si="59"/>
        <v>528005.19999999925</v>
      </c>
      <c r="I310" s="272">
        <f t="shared" si="59"/>
        <v>0</v>
      </c>
      <c r="J310" s="272">
        <f t="shared" si="59"/>
        <v>0</v>
      </c>
      <c r="K310" s="272">
        <f t="shared" si="59"/>
        <v>0</v>
      </c>
      <c r="L310" s="272">
        <f t="shared" si="59"/>
        <v>0</v>
      </c>
      <c r="M310" s="272">
        <f t="shared" si="59"/>
        <v>0</v>
      </c>
      <c r="N310" s="272">
        <f t="shared" si="59"/>
        <v>0</v>
      </c>
      <c r="O310" s="272">
        <f t="shared" si="59"/>
        <v>0</v>
      </c>
      <c r="P310" s="272">
        <f t="shared" si="59"/>
        <v>-444504</v>
      </c>
      <c r="Q310" s="272">
        <f t="shared" si="59"/>
        <v>0</v>
      </c>
      <c r="R310" s="272">
        <f t="shared" si="59"/>
        <v>0</v>
      </c>
      <c r="S310" s="272">
        <f t="shared" si="59"/>
        <v>0</v>
      </c>
      <c r="T310" s="272">
        <f t="shared" si="59"/>
        <v>0</v>
      </c>
      <c r="U310" s="272">
        <f t="shared" si="59"/>
        <v>0</v>
      </c>
      <c r="V310" s="272">
        <f t="shared" si="59"/>
        <v>0</v>
      </c>
      <c r="W310" s="272">
        <f t="shared" si="59"/>
        <v>59158</v>
      </c>
      <c r="X310" s="272">
        <f t="shared" si="59"/>
        <v>-50000</v>
      </c>
      <c r="Y310" s="272">
        <f t="shared" si="59"/>
        <v>0</v>
      </c>
      <c r="Z310" s="272">
        <f t="shared" si="59"/>
        <v>0</v>
      </c>
      <c r="AA310" s="272">
        <f t="shared" si="59"/>
        <v>0</v>
      </c>
      <c r="AB310" s="272">
        <f t="shared" si="59"/>
        <v>-10000</v>
      </c>
      <c r="AC310" s="272">
        <f t="shared" si="59"/>
        <v>-1.0000000002037268E-2</v>
      </c>
      <c r="AD310" s="272">
        <f t="shared" si="59"/>
        <v>5242</v>
      </c>
      <c r="AE310" s="272">
        <f t="shared" si="59"/>
        <v>-47299</v>
      </c>
      <c r="AF310" s="272">
        <f t="shared" si="59"/>
        <v>500</v>
      </c>
      <c r="AG310" s="272">
        <f t="shared" si="59"/>
        <v>0</v>
      </c>
    </row>
    <row r="311" spans="1:33" s="181" customFormat="1" x14ac:dyDescent="0.2">
      <c r="A311" s="179"/>
      <c r="C311" s="205"/>
      <c r="D311" s="224"/>
      <c r="E311" s="224"/>
      <c r="F311" s="224"/>
      <c r="G311" s="224"/>
      <c r="H311" s="224"/>
      <c r="I311" s="224"/>
      <c r="J311" s="224"/>
      <c r="K311" s="224"/>
      <c r="L311" s="224"/>
      <c r="M311" s="224"/>
      <c r="N311" s="224"/>
      <c r="O311" s="224"/>
      <c r="P311" s="224"/>
      <c r="Q311" s="224"/>
      <c r="R311" s="224"/>
      <c r="S311" s="224"/>
      <c r="T311" s="224"/>
      <c r="U311" s="224"/>
      <c r="V311" s="224"/>
      <c r="W311" s="224"/>
      <c r="X311" s="224"/>
      <c r="Y311" s="224"/>
      <c r="Z311" s="224"/>
      <c r="AA311" s="224"/>
      <c r="AB311" s="224"/>
      <c r="AC311" s="224"/>
      <c r="AD311" s="224"/>
      <c r="AE311" s="224"/>
      <c r="AF311" s="224"/>
      <c r="AG311" s="224"/>
    </row>
  </sheetData>
  <mergeCells count="3">
    <mergeCell ref="C1:AG1"/>
    <mergeCell ref="C2:AG2"/>
    <mergeCell ref="B4:AG4"/>
  </mergeCells>
  <conditionalFormatting sqref="B120 B273">
    <cfRule type="expression" dxfId="609" priority="196">
      <formula>$A120="O"</formula>
    </cfRule>
    <cfRule type="expression" dxfId="608" priority="197">
      <formula>$A120="S"</formula>
    </cfRule>
    <cfRule type="expression" dxfId="607" priority="198">
      <formula>$A120="G"</formula>
    </cfRule>
  </conditionalFormatting>
  <conditionalFormatting sqref="B120 B273">
    <cfRule type="expression" dxfId="606" priority="199" stopIfTrue="1">
      <formula>$A120="O"</formula>
    </cfRule>
    <cfRule type="expression" dxfId="605" priority="200" stopIfTrue="1">
      <formula>$A120="S"</formula>
    </cfRule>
  </conditionalFormatting>
  <conditionalFormatting sqref="B54">
    <cfRule type="expression" dxfId="604" priority="194" stopIfTrue="1">
      <formula>$A54="O"</formula>
    </cfRule>
    <cfRule type="expression" dxfId="603" priority="195" stopIfTrue="1">
      <formula>$A54="S"</formula>
    </cfRule>
  </conditionalFormatting>
  <conditionalFormatting sqref="B54">
    <cfRule type="expression" dxfId="602" priority="191">
      <formula>$A54="O"</formula>
    </cfRule>
    <cfRule type="expression" dxfId="601" priority="192">
      <formula>$A54="S"</formula>
    </cfRule>
    <cfRule type="expression" dxfId="600" priority="193">
      <formula>$A54="G"</formula>
    </cfRule>
  </conditionalFormatting>
  <conditionalFormatting sqref="B57:B68">
    <cfRule type="expression" dxfId="599" priority="186">
      <formula>$A57="O"</formula>
    </cfRule>
    <cfRule type="expression" dxfId="598" priority="187">
      <formula>$A57="S"</formula>
    </cfRule>
    <cfRule type="expression" dxfId="597" priority="188">
      <formula>$A57="G"</formula>
    </cfRule>
  </conditionalFormatting>
  <conditionalFormatting sqref="B57:B68">
    <cfRule type="expression" dxfId="596" priority="189" stopIfTrue="1">
      <formula>$A57="O"</formula>
    </cfRule>
    <cfRule type="expression" dxfId="595" priority="190" stopIfTrue="1">
      <formula>$A57="S"</formula>
    </cfRule>
  </conditionalFormatting>
  <conditionalFormatting sqref="B55">
    <cfRule type="expression" dxfId="594" priority="183">
      <formula>$A55="O"</formula>
    </cfRule>
    <cfRule type="expression" dxfId="593" priority="184">
      <formula>$A55="S"</formula>
    </cfRule>
    <cfRule type="expression" dxfId="592" priority="185">
      <formula>$A55="G"</formula>
    </cfRule>
  </conditionalFormatting>
  <conditionalFormatting sqref="B55">
    <cfRule type="expression" dxfId="591" priority="181" stopIfTrue="1">
      <formula>$A55="O"</formula>
    </cfRule>
    <cfRule type="expression" dxfId="590" priority="182" stopIfTrue="1">
      <formula>$A55="S"</formula>
    </cfRule>
  </conditionalFormatting>
  <conditionalFormatting sqref="B70:B75 B77:B84">
    <cfRule type="expression" dxfId="589" priority="176">
      <formula>$A70="O"</formula>
    </cfRule>
    <cfRule type="expression" dxfId="588" priority="177">
      <formula>$A70="S"</formula>
    </cfRule>
    <cfRule type="expression" dxfId="587" priority="178">
      <formula>$A70="G"</formula>
    </cfRule>
  </conditionalFormatting>
  <conditionalFormatting sqref="B109:B112">
    <cfRule type="expression" dxfId="586" priority="116">
      <formula>$A109="O"</formula>
    </cfRule>
    <cfRule type="expression" dxfId="585" priority="117">
      <formula>$A109="S"</formula>
    </cfRule>
    <cfRule type="expression" dxfId="584" priority="118">
      <formula>$A109="G"</formula>
    </cfRule>
  </conditionalFormatting>
  <conditionalFormatting sqref="B70:B75 B77:B84">
    <cfRule type="expression" dxfId="583" priority="179" stopIfTrue="1">
      <formula>$A70="O"</formula>
    </cfRule>
    <cfRule type="expression" dxfId="582" priority="180" stopIfTrue="1">
      <formula>$A70="S"</formula>
    </cfRule>
  </conditionalFormatting>
  <conditionalFormatting sqref="B113:B118">
    <cfRule type="expression" dxfId="581" priority="111">
      <formula>$A113="O"</formula>
    </cfRule>
    <cfRule type="expression" dxfId="580" priority="112">
      <formula>$A113="S"</formula>
    </cfRule>
    <cfRule type="expression" dxfId="579" priority="113">
      <formula>$A113="G"</formula>
    </cfRule>
  </conditionalFormatting>
  <conditionalFormatting sqref="B85">
    <cfRule type="expression" dxfId="578" priority="171">
      <formula>$A85="O"</formula>
    </cfRule>
    <cfRule type="expression" dxfId="577" priority="172">
      <formula>$A85="S"</formula>
    </cfRule>
    <cfRule type="expression" dxfId="576" priority="173">
      <formula>$A85="G"</formula>
    </cfRule>
  </conditionalFormatting>
  <conditionalFormatting sqref="B85">
    <cfRule type="expression" dxfId="575" priority="174" stopIfTrue="1">
      <formula>$A85="O"</formula>
    </cfRule>
    <cfRule type="expression" dxfId="574" priority="175" stopIfTrue="1">
      <formula>$A85="S"</formula>
    </cfRule>
  </conditionalFormatting>
  <conditionalFormatting sqref="B86">
    <cfRule type="expression" dxfId="573" priority="166">
      <formula>$A86="O"</formula>
    </cfRule>
    <cfRule type="expression" dxfId="572" priority="167">
      <formula>$A86="S"</formula>
    </cfRule>
    <cfRule type="expression" dxfId="571" priority="168">
      <formula>$A86="G"</formula>
    </cfRule>
  </conditionalFormatting>
  <conditionalFormatting sqref="B86">
    <cfRule type="expression" dxfId="570" priority="169" stopIfTrue="1">
      <formula>$A86="O"</formula>
    </cfRule>
    <cfRule type="expression" dxfId="569" priority="170" stopIfTrue="1">
      <formula>$A86="S"</formula>
    </cfRule>
  </conditionalFormatting>
  <conditionalFormatting sqref="B87">
    <cfRule type="expression" dxfId="568" priority="161">
      <formula>$A87="O"</formula>
    </cfRule>
    <cfRule type="expression" dxfId="567" priority="162">
      <formula>$A87="S"</formula>
    </cfRule>
    <cfRule type="expression" dxfId="566" priority="163">
      <formula>$A87="G"</formula>
    </cfRule>
  </conditionalFormatting>
  <conditionalFormatting sqref="B87">
    <cfRule type="expression" dxfId="565" priority="164" stopIfTrue="1">
      <formula>$A87="O"</formula>
    </cfRule>
    <cfRule type="expression" dxfId="564" priority="165" stopIfTrue="1">
      <formula>$A87="S"</formula>
    </cfRule>
  </conditionalFormatting>
  <conditionalFormatting sqref="B88">
    <cfRule type="expression" dxfId="563" priority="156">
      <formula>$A88="O"</formula>
    </cfRule>
    <cfRule type="expression" dxfId="562" priority="157">
      <formula>$A88="S"</formula>
    </cfRule>
    <cfRule type="expression" dxfId="561" priority="158">
      <formula>$A88="G"</formula>
    </cfRule>
  </conditionalFormatting>
  <conditionalFormatting sqref="B88">
    <cfRule type="expression" dxfId="560" priority="159" stopIfTrue="1">
      <formula>$A88="O"</formula>
    </cfRule>
    <cfRule type="expression" dxfId="559" priority="160" stopIfTrue="1">
      <formula>$A88="S"</formula>
    </cfRule>
  </conditionalFormatting>
  <conditionalFormatting sqref="B89">
    <cfRule type="expression" dxfId="558" priority="151">
      <formula>$A89="O"</formula>
    </cfRule>
    <cfRule type="expression" dxfId="557" priority="152">
      <formula>$A89="S"</formula>
    </cfRule>
    <cfRule type="expression" dxfId="556" priority="153">
      <formula>$A89="G"</formula>
    </cfRule>
  </conditionalFormatting>
  <conditionalFormatting sqref="B89">
    <cfRule type="expression" dxfId="555" priority="154" stopIfTrue="1">
      <formula>$A89="O"</formula>
    </cfRule>
    <cfRule type="expression" dxfId="554" priority="155" stopIfTrue="1">
      <formula>$A89="S"</formula>
    </cfRule>
  </conditionalFormatting>
  <conditionalFormatting sqref="B90">
    <cfRule type="expression" dxfId="553" priority="146">
      <formula>$A90="O"</formula>
    </cfRule>
    <cfRule type="expression" dxfId="552" priority="147">
      <formula>$A90="S"</formula>
    </cfRule>
    <cfRule type="expression" dxfId="551" priority="148">
      <formula>$A90="G"</formula>
    </cfRule>
  </conditionalFormatting>
  <conditionalFormatting sqref="B90">
    <cfRule type="expression" dxfId="550" priority="149" stopIfTrue="1">
      <formula>$A90="O"</formula>
    </cfRule>
    <cfRule type="expression" dxfId="549" priority="150" stopIfTrue="1">
      <formula>$A90="S"</formula>
    </cfRule>
  </conditionalFormatting>
  <conditionalFormatting sqref="B91:B93">
    <cfRule type="expression" dxfId="548" priority="141">
      <formula>$A91="O"</formula>
    </cfRule>
    <cfRule type="expression" dxfId="547" priority="142">
      <formula>$A91="S"</formula>
    </cfRule>
    <cfRule type="expression" dxfId="546" priority="143">
      <formula>$A91="G"</formula>
    </cfRule>
  </conditionalFormatting>
  <conditionalFormatting sqref="B91:B93">
    <cfRule type="expression" dxfId="545" priority="144" stopIfTrue="1">
      <formula>$A91="O"</formula>
    </cfRule>
    <cfRule type="expression" dxfId="544" priority="145" stopIfTrue="1">
      <formula>$A91="S"</formula>
    </cfRule>
  </conditionalFormatting>
  <conditionalFormatting sqref="B97:B98">
    <cfRule type="expression" dxfId="543" priority="136">
      <formula>$A97="O"</formula>
    </cfRule>
    <cfRule type="expression" dxfId="542" priority="137">
      <formula>$A97="S"</formula>
    </cfRule>
    <cfRule type="expression" dxfId="541" priority="138">
      <formula>$A97="G"</formula>
    </cfRule>
  </conditionalFormatting>
  <conditionalFormatting sqref="B97:B98">
    <cfRule type="expression" dxfId="540" priority="139" stopIfTrue="1">
      <formula>$A97="O"</formula>
    </cfRule>
    <cfRule type="expression" dxfId="539" priority="140" stopIfTrue="1">
      <formula>$A97="S"</formula>
    </cfRule>
  </conditionalFormatting>
  <conditionalFormatting sqref="B94">
    <cfRule type="expression" dxfId="538" priority="131">
      <formula>$A94="O"</formula>
    </cfRule>
    <cfRule type="expression" dxfId="537" priority="132">
      <formula>$A94="S"</formula>
    </cfRule>
    <cfRule type="expression" dxfId="536" priority="133">
      <formula>$A94="G"</formula>
    </cfRule>
  </conditionalFormatting>
  <conditionalFormatting sqref="B94">
    <cfRule type="expression" dxfId="535" priority="134" stopIfTrue="1">
      <formula>$A94="O"</formula>
    </cfRule>
    <cfRule type="expression" dxfId="534" priority="135" stopIfTrue="1">
      <formula>$A94="S"</formula>
    </cfRule>
  </conditionalFormatting>
  <conditionalFormatting sqref="B99:B103">
    <cfRule type="expression" dxfId="533" priority="126">
      <formula>$A99="O"</formula>
    </cfRule>
    <cfRule type="expression" dxfId="532" priority="127">
      <formula>$A99="S"</formula>
    </cfRule>
    <cfRule type="expression" dxfId="531" priority="128">
      <formula>$A99="G"</formula>
    </cfRule>
  </conditionalFormatting>
  <conditionalFormatting sqref="B99:B103">
    <cfRule type="expression" dxfId="530" priority="129" stopIfTrue="1">
      <formula>$A99="O"</formula>
    </cfRule>
    <cfRule type="expression" dxfId="529" priority="130" stopIfTrue="1">
      <formula>$A99="S"</formula>
    </cfRule>
  </conditionalFormatting>
  <conditionalFormatting sqref="B104:B108">
    <cfRule type="expression" dxfId="528" priority="121">
      <formula>$A104="O"</formula>
    </cfRule>
    <cfRule type="expression" dxfId="527" priority="122">
      <formula>$A104="S"</formula>
    </cfRule>
    <cfRule type="expression" dxfId="526" priority="123">
      <formula>$A104="G"</formula>
    </cfRule>
  </conditionalFormatting>
  <conditionalFormatting sqref="B104:B108">
    <cfRule type="expression" dxfId="525" priority="124" stopIfTrue="1">
      <formula>$A104="O"</formula>
    </cfRule>
    <cfRule type="expression" dxfId="524" priority="125" stopIfTrue="1">
      <formula>$A104="S"</formula>
    </cfRule>
  </conditionalFormatting>
  <conditionalFormatting sqref="B109:B112">
    <cfRule type="expression" dxfId="523" priority="119" stopIfTrue="1">
      <formula>$A109="O"</formula>
    </cfRule>
    <cfRule type="expression" dxfId="522" priority="120" stopIfTrue="1">
      <formula>$A109="S"</formula>
    </cfRule>
  </conditionalFormatting>
  <conditionalFormatting sqref="B113:B118">
    <cfRule type="expression" dxfId="521" priority="114" stopIfTrue="1">
      <formula>$A113="O"</formula>
    </cfRule>
    <cfRule type="expression" dxfId="520" priority="115" stopIfTrue="1">
      <formula>$A113="S"</formula>
    </cfRule>
  </conditionalFormatting>
  <conditionalFormatting sqref="B121:B134">
    <cfRule type="expression" dxfId="519" priority="101">
      <formula>$A121="O"</formula>
    </cfRule>
    <cfRule type="expression" dxfId="518" priority="102">
      <formula>$A121="S"</formula>
    </cfRule>
    <cfRule type="expression" dxfId="517" priority="103">
      <formula>$A121="G"</formula>
    </cfRule>
  </conditionalFormatting>
  <conditionalFormatting sqref="B121:B134">
    <cfRule type="expression" dxfId="516" priority="104" stopIfTrue="1">
      <formula>$A121="O"</formula>
    </cfRule>
    <cfRule type="expression" dxfId="515" priority="105" stopIfTrue="1">
      <formula>$A121="S"</formula>
    </cfRule>
  </conditionalFormatting>
  <conditionalFormatting sqref="B119">
    <cfRule type="expression" dxfId="514" priority="96">
      <formula>$A119="O"</formula>
    </cfRule>
    <cfRule type="expression" dxfId="513" priority="97">
      <formula>$A119="S"</formula>
    </cfRule>
    <cfRule type="expression" dxfId="512" priority="98">
      <formula>$A119="G"</formula>
    </cfRule>
  </conditionalFormatting>
  <conditionalFormatting sqref="B119">
    <cfRule type="expression" dxfId="511" priority="99" stopIfTrue="1">
      <formula>$A119="O"</formula>
    </cfRule>
    <cfRule type="expression" dxfId="510" priority="100" stopIfTrue="1">
      <formula>$A119="S"</formula>
    </cfRule>
  </conditionalFormatting>
  <conditionalFormatting sqref="B210:B221">
    <cfRule type="expression" dxfId="509" priority="91">
      <formula>$A210="O"</formula>
    </cfRule>
    <cfRule type="expression" dxfId="508" priority="92">
      <formula>$A210="S"</formula>
    </cfRule>
    <cfRule type="expression" dxfId="507" priority="93">
      <formula>$A210="G"</formula>
    </cfRule>
  </conditionalFormatting>
  <conditionalFormatting sqref="B210:B221">
    <cfRule type="expression" dxfId="506" priority="94" stopIfTrue="1">
      <formula>$A210="O"</formula>
    </cfRule>
    <cfRule type="expression" dxfId="505" priority="95" stopIfTrue="1">
      <formula>$A210="S"</formula>
    </cfRule>
  </conditionalFormatting>
  <conditionalFormatting sqref="B208">
    <cfRule type="expression" dxfId="504" priority="88">
      <formula>$A208="O"</formula>
    </cfRule>
    <cfRule type="expression" dxfId="503" priority="89">
      <formula>$A208="S"</formula>
    </cfRule>
    <cfRule type="expression" dxfId="502" priority="90">
      <formula>$A208="G"</formula>
    </cfRule>
  </conditionalFormatting>
  <conditionalFormatting sqref="B208">
    <cfRule type="expression" dxfId="501" priority="86" stopIfTrue="1">
      <formula>$A208="O"</formula>
    </cfRule>
    <cfRule type="expression" dxfId="500" priority="87" stopIfTrue="1">
      <formula>$A208="S"</formula>
    </cfRule>
  </conditionalFormatting>
  <conditionalFormatting sqref="B223:B228 B230:B237">
    <cfRule type="expression" dxfId="499" priority="81">
      <formula>$A223="O"</formula>
    </cfRule>
    <cfRule type="expression" dxfId="498" priority="82">
      <formula>$A223="S"</formula>
    </cfRule>
    <cfRule type="expression" dxfId="497" priority="83">
      <formula>$A223="G"</formula>
    </cfRule>
  </conditionalFormatting>
  <conditionalFormatting sqref="B223:B228 B230:B237">
    <cfRule type="expression" dxfId="496" priority="84" stopIfTrue="1">
      <formula>$A223="O"</formula>
    </cfRule>
    <cfRule type="expression" dxfId="495" priority="85" stopIfTrue="1">
      <formula>$A223="S"</formula>
    </cfRule>
  </conditionalFormatting>
  <conditionalFormatting sqref="B262:B265">
    <cfRule type="expression" dxfId="494" priority="21">
      <formula>$A262="O"</formula>
    </cfRule>
    <cfRule type="expression" dxfId="493" priority="22">
      <formula>$A262="S"</formula>
    </cfRule>
    <cfRule type="expression" dxfId="492" priority="23">
      <formula>$A262="G"</formula>
    </cfRule>
  </conditionalFormatting>
  <conditionalFormatting sqref="B238">
    <cfRule type="expression" dxfId="491" priority="76">
      <formula>$A238="O"</formula>
    </cfRule>
    <cfRule type="expression" dxfId="490" priority="77">
      <formula>$A238="S"</formula>
    </cfRule>
    <cfRule type="expression" dxfId="489" priority="78">
      <formula>$A238="G"</formula>
    </cfRule>
  </conditionalFormatting>
  <conditionalFormatting sqref="B238">
    <cfRule type="expression" dxfId="488" priority="79" stopIfTrue="1">
      <formula>$A238="O"</formula>
    </cfRule>
    <cfRule type="expression" dxfId="487" priority="80" stopIfTrue="1">
      <formula>$A238="S"</formula>
    </cfRule>
  </conditionalFormatting>
  <conditionalFormatting sqref="B239">
    <cfRule type="expression" dxfId="486" priority="71">
      <formula>$A239="O"</formula>
    </cfRule>
    <cfRule type="expression" dxfId="485" priority="72">
      <formula>$A239="S"</formula>
    </cfRule>
    <cfRule type="expression" dxfId="484" priority="73">
      <formula>$A239="G"</formula>
    </cfRule>
  </conditionalFormatting>
  <conditionalFormatting sqref="B239">
    <cfRule type="expression" dxfId="483" priority="74" stopIfTrue="1">
      <formula>$A239="O"</formula>
    </cfRule>
    <cfRule type="expression" dxfId="482" priority="75" stopIfTrue="1">
      <formula>$A239="S"</formula>
    </cfRule>
  </conditionalFormatting>
  <conditionalFormatting sqref="B240">
    <cfRule type="expression" dxfId="481" priority="66">
      <formula>$A240="O"</formula>
    </cfRule>
    <cfRule type="expression" dxfId="480" priority="67">
      <formula>$A240="S"</formula>
    </cfRule>
    <cfRule type="expression" dxfId="479" priority="68">
      <formula>$A240="G"</formula>
    </cfRule>
  </conditionalFormatting>
  <conditionalFormatting sqref="B240">
    <cfRule type="expression" dxfId="478" priority="69" stopIfTrue="1">
      <formula>$A240="O"</formula>
    </cfRule>
    <cfRule type="expression" dxfId="477" priority="70" stopIfTrue="1">
      <formula>$A240="S"</formula>
    </cfRule>
  </conditionalFormatting>
  <conditionalFormatting sqref="B241">
    <cfRule type="expression" dxfId="476" priority="61">
      <formula>$A241="O"</formula>
    </cfRule>
    <cfRule type="expression" dxfId="475" priority="62">
      <formula>$A241="S"</formula>
    </cfRule>
    <cfRule type="expression" dxfId="474" priority="63">
      <formula>$A241="G"</formula>
    </cfRule>
  </conditionalFormatting>
  <conditionalFormatting sqref="B241">
    <cfRule type="expression" dxfId="473" priority="64" stopIfTrue="1">
      <formula>$A241="O"</formula>
    </cfRule>
    <cfRule type="expression" dxfId="472" priority="65" stopIfTrue="1">
      <formula>$A241="S"</formula>
    </cfRule>
  </conditionalFormatting>
  <conditionalFormatting sqref="B242">
    <cfRule type="expression" dxfId="471" priority="56">
      <formula>$A242="O"</formula>
    </cfRule>
    <cfRule type="expression" dxfId="470" priority="57">
      <formula>$A242="S"</formula>
    </cfRule>
    <cfRule type="expression" dxfId="469" priority="58">
      <formula>$A242="G"</formula>
    </cfRule>
  </conditionalFormatting>
  <conditionalFormatting sqref="B242">
    <cfRule type="expression" dxfId="468" priority="59" stopIfTrue="1">
      <formula>$A242="O"</formula>
    </cfRule>
    <cfRule type="expression" dxfId="467" priority="60" stopIfTrue="1">
      <formula>$A242="S"</formula>
    </cfRule>
  </conditionalFormatting>
  <conditionalFormatting sqref="B243">
    <cfRule type="expression" dxfId="466" priority="51">
      <formula>$A243="O"</formula>
    </cfRule>
    <cfRule type="expression" dxfId="465" priority="52">
      <formula>$A243="S"</formula>
    </cfRule>
    <cfRule type="expression" dxfId="464" priority="53">
      <formula>$A243="G"</formula>
    </cfRule>
  </conditionalFormatting>
  <conditionalFormatting sqref="B243">
    <cfRule type="expression" dxfId="463" priority="54" stopIfTrue="1">
      <formula>$A243="O"</formula>
    </cfRule>
    <cfRule type="expression" dxfId="462" priority="55" stopIfTrue="1">
      <formula>$A243="S"</formula>
    </cfRule>
  </conditionalFormatting>
  <conditionalFormatting sqref="B244:B246">
    <cfRule type="expression" dxfId="461" priority="46">
      <formula>$A244="O"</formula>
    </cfRule>
    <cfRule type="expression" dxfId="460" priority="47">
      <formula>$A244="S"</formula>
    </cfRule>
    <cfRule type="expression" dxfId="459" priority="48">
      <formula>$A244="G"</formula>
    </cfRule>
  </conditionalFormatting>
  <conditionalFormatting sqref="B244:B246">
    <cfRule type="expression" dxfId="458" priority="49" stopIfTrue="1">
      <formula>$A244="O"</formula>
    </cfRule>
    <cfRule type="expression" dxfId="457" priority="50" stopIfTrue="1">
      <formula>$A244="S"</formula>
    </cfRule>
  </conditionalFormatting>
  <conditionalFormatting sqref="B250:B251">
    <cfRule type="expression" dxfId="456" priority="41">
      <formula>$A250="O"</formula>
    </cfRule>
    <cfRule type="expression" dxfId="455" priority="42">
      <formula>$A250="S"</formula>
    </cfRule>
    <cfRule type="expression" dxfId="454" priority="43">
      <formula>$A250="G"</formula>
    </cfRule>
  </conditionalFormatting>
  <conditionalFormatting sqref="B250:B251">
    <cfRule type="expression" dxfId="453" priority="44" stopIfTrue="1">
      <formula>$A250="O"</formula>
    </cfRule>
    <cfRule type="expression" dxfId="452" priority="45" stopIfTrue="1">
      <formula>$A250="S"</formula>
    </cfRule>
  </conditionalFormatting>
  <conditionalFormatting sqref="B247">
    <cfRule type="expression" dxfId="451" priority="36">
      <formula>$A247="O"</formula>
    </cfRule>
    <cfRule type="expression" dxfId="450" priority="37">
      <formula>$A247="S"</formula>
    </cfRule>
    <cfRule type="expression" dxfId="449" priority="38">
      <formula>$A247="G"</formula>
    </cfRule>
  </conditionalFormatting>
  <conditionalFormatting sqref="B247">
    <cfRule type="expression" dxfId="448" priority="39" stopIfTrue="1">
      <formula>$A247="O"</formula>
    </cfRule>
    <cfRule type="expression" dxfId="447" priority="40" stopIfTrue="1">
      <formula>$A247="S"</formula>
    </cfRule>
  </conditionalFormatting>
  <conditionalFormatting sqref="B252:B256">
    <cfRule type="expression" dxfId="446" priority="31">
      <formula>$A252="O"</formula>
    </cfRule>
    <cfRule type="expression" dxfId="445" priority="32">
      <formula>$A252="S"</formula>
    </cfRule>
    <cfRule type="expression" dxfId="444" priority="33">
      <formula>$A252="G"</formula>
    </cfRule>
  </conditionalFormatting>
  <conditionalFormatting sqref="B252:B256">
    <cfRule type="expression" dxfId="443" priority="34" stopIfTrue="1">
      <formula>$A252="O"</formula>
    </cfRule>
    <cfRule type="expression" dxfId="442" priority="35" stopIfTrue="1">
      <formula>$A252="S"</formula>
    </cfRule>
  </conditionalFormatting>
  <conditionalFormatting sqref="B257:B261">
    <cfRule type="expression" dxfId="441" priority="26">
      <formula>$A257="O"</formula>
    </cfRule>
    <cfRule type="expression" dxfId="440" priority="27">
      <formula>$A257="S"</formula>
    </cfRule>
    <cfRule type="expression" dxfId="439" priority="28">
      <formula>$A257="G"</formula>
    </cfRule>
  </conditionalFormatting>
  <conditionalFormatting sqref="B257:B261">
    <cfRule type="expression" dxfId="438" priority="29" stopIfTrue="1">
      <formula>$A257="O"</formula>
    </cfRule>
    <cfRule type="expression" dxfId="437" priority="30" stopIfTrue="1">
      <formula>$A257="S"</formula>
    </cfRule>
  </conditionalFormatting>
  <conditionalFormatting sqref="B262:B265">
    <cfRule type="expression" dxfId="436" priority="24" stopIfTrue="1">
      <formula>$A262="O"</formula>
    </cfRule>
    <cfRule type="expression" dxfId="435" priority="25" stopIfTrue="1">
      <formula>$A262="S"</formula>
    </cfRule>
  </conditionalFormatting>
  <conditionalFormatting sqref="B266:B271">
    <cfRule type="expression" dxfId="434" priority="16">
      <formula>$A266="O"</formula>
    </cfRule>
    <cfRule type="expression" dxfId="433" priority="17">
      <formula>$A266="S"</formula>
    </cfRule>
    <cfRule type="expression" dxfId="432" priority="18">
      <formula>$A266="G"</formula>
    </cfRule>
  </conditionalFormatting>
  <conditionalFormatting sqref="B266:B271">
    <cfRule type="expression" dxfId="431" priority="19" stopIfTrue="1">
      <formula>$A266="O"</formula>
    </cfRule>
    <cfRule type="expression" dxfId="430" priority="20" stopIfTrue="1">
      <formula>$A266="S"</formula>
    </cfRule>
  </conditionalFormatting>
  <conditionalFormatting sqref="B274:B287">
    <cfRule type="expression" dxfId="429" priority="6">
      <formula>$A274="O"</formula>
    </cfRule>
    <cfRule type="expression" dxfId="428" priority="7">
      <formula>$A274="S"</formula>
    </cfRule>
    <cfRule type="expression" dxfId="427" priority="8">
      <formula>$A274="G"</formula>
    </cfRule>
  </conditionalFormatting>
  <conditionalFormatting sqref="B274:B287">
    <cfRule type="expression" dxfId="426" priority="9" stopIfTrue="1">
      <formula>$A274="O"</formula>
    </cfRule>
    <cfRule type="expression" dxfId="425" priority="10" stopIfTrue="1">
      <formula>$A274="S"</formula>
    </cfRule>
  </conditionalFormatting>
  <conditionalFormatting sqref="B272">
    <cfRule type="expression" dxfId="424" priority="1">
      <formula>$A272="O"</formula>
    </cfRule>
    <cfRule type="expression" dxfId="423" priority="2">
      <formula>$A272="S"</formula>
    </cfRule>
    <cfRule type="expression" dxfId="422" priority="3">
      <formula>$A272="G"</formula>
    </cfRule>
  </conditionalFormatting>
  <conditionalFormatting sqref="B272">
    <cfRule type="expression" dxfId="421" priority="4" stopIfTrue="1">
      <formula>$A272="O"</formula>
    </cfRule>
    <cfRule type="expression" dxfId="420" priority="5" stopIfTrue="1">
      <formula>$A272="S"</formula>
    </cfRule>
  </conditionalFormatting>
  <printOptions headings="1" gridLines="1"/>
  <pageMargins left="0.7" right="0.7" top="0.75" bottom="0.75" header="0.3" footer="0.3"/>
  <pageSetup paperSize="5" orientation="landscape" horizontalDpi="4294967295" verticalDpi="4294967295"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'[10]Drop Down Options'!#REF!</xm:f>
          </x14:formula1>
          <xm:sqref>F11:G11 G14</xm:sqref>
        </x14:dataValidation>
        <x14:dataValidation type="list" allowBlank="1" showInputMessage="1" showErrorMessage="1">
          <x14:formula1>
            <xm:f>'[11]Drop Down Options'!#REF!</xm:f>
          </x14:formula1>
          <xm:sqref>D10:AG10 D13:F14 H13:AG14 G13</xm:sqref>
        </x14:dataValidation>
        <x14:dataValidation type="list" allowBlank="1" showInputMessage="1" showErrorMessage="1">
          <x14:formula1>
            <xm:f>'[11]Drop Down Options'!#REF!</xm:f>
          </x14:formula1>
          <xm:sqref>D11:E11 H11:AG11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4"/>
  <sheetViews>
    <sheetView topLeftCell="A189" workbookViewId="0">
      <selection activeCell="I266" sqref="I266"/>
    </sheetView>
  </sheetViews>
  <sheetFormatPr defaultColWidth="9.140625" defaultRowHeight="12.75" outlineLevelCol="1" x14ac:dyDescent="0.2"/>
  <cols>
    <col min="1" max="1" width="36.7109375" style="31" customWidth="1"/>
    <col min="2" max="2" width="18.42578125" style="31" customWidth="1"/>
    <col min="3" max="3" width="16.7109375" style="31" customWidth="1"/>
    <col min="4" max="4" width="14.5703125" style="31" customWidth="1"/>
    <col min="5" max="5" width="9.5703125" style="31" customWidth="1"/>
    <col min="6" max="6" width="17.7109375" style="31" customWidth="1"/>
    <col min="7" max="7" width="15" style="31" customWidth="1"/>
    <col min="8" max="8" width="17.42578125" style="31" customWidth="1"/>
    <col min="9" max="9" width="16" style="31" customWidth="1"/>
    <col min="10" max="10" width="18.42578125" style="31" customWidth="1"/>
    <col min="11" max="11" width="17" style="31" customWidth="1"/>
    <col min="12" max="12" width="18" style="31" customWidth="1"/>
    <col min="13" max="13" width="46.140625" style="31" hidden="1" customWidth="1" outlineLevel="1"/>
    <col min="14" max="14" width="31.5703125" style="31" customWidth="1" collapsed="1"/>
    <col min="15" max="15" width="23.7109375" style="31" customWidth="1"/>
    <col min="16" max="16" width="18.5703125" style="31" customWidth="1"/>
    <col min="17" max="17" width="16.7109375" style="31" customWidth="1"/>
    <col min="18" max="18" width="7.5703125" style="31" bestFit="1" customWidth="1"/>
    <col min="19" max="19" width="25.7109375" style="31" customWidth="1"/>
    <col min="20" max="16384" width="9.140625" style="31"/>
  </cols>
  <sheetData>
    <row r="1" spans="1:18" x14ac:dyDescent="0.2">
      <c r="A1" s="1" t="s">
        <v>0</v>
      </c>
      <c r="B1" s="324" t="s">
        <v>806</v>
      </c>
      <c r="C1" s="324"/>
      <c r="D1" s="324"/>
    </row>
    <row r="2" spans="1:18" x14ac:dyDescent="0.2">
      <c r="A2" s="1" t="s">
        <v>1</v>
      </c>
      <c r="B2" s="323">
        <v>43210</v>
      </c>
      <c r="C2" s="323"/>
      <c r="D2" s="323"/>
    </row>
    <row r="3" spans="1:18" x14ac:dyDescent="0.2">
      <c r="A3" s="13"/>
      <c r="B3" s="50"/>
      <c r="C3" s="49"/>
    </row>
    <row r="4" spans="1:18" ht="126.75" customHeight="1" x14ac:dyDescent="0.2">
      <c r="A4" s="355" t="s">
        <v>7</v>
      </c>
      <c r="B4" s="356"/>
      <c r="C4" s="356"/>
      <c r="D4" s="356"/>
      <c r="E4" s="356"/>
      <c r="F4" s="356"/>
      <c r="G4" s="356"/>
      <c r="H4" s="356"/>
      <c r="I4" s="356"/>
      <c r="J4" s="356"/>
      <c r="K4" s="357"/>
      <c r="P4" s="49"/>
      <c r="Q4" s="49"/>
      <c r="R4" s="49"/>
    </row>
    <row r="5" spans="1:18" x14ac:dyDescent="0.2">
      <c r="A5" s="49"/>
      <c r="B5" s="49"/>
      <c r="C5" s="49"/>
      <c r="D5" s="49"/>
      <c r="E5" s="49"/>
      <c r="F5" s="49"/>
      <c r="G5" s="49"/>
      <c r="H5" s="49"/>
      <c r="I5" s="49"/>
      <c r="J5" s="49"/>
      <c r="K5" s="49"/>
      <c r="M5" s="49"/>
      <c r="N5" s="49"/>
      <c r="O5" s="49"/>
      <c r="P5" s="49"/>
      <c r="Q5" s="49"/>
      <c r="R5" s="49"/>
    </row>
    <row r="6" spans="1:18" ht="63.75" x14ac:dyDescent="0.2">
      <c r="A6" s="8" t="s">
        <v>29</v>
      </c>
      <c r="B6" s="10" t="s">
        <v>6</v>
      </c>
      <c r="C6" s="9" t="s">
        <v>9</v>
      </c>
      <c r="D6" s="10" t="s">
        <v>22</v>
      </c>
      <c r="E6" s="10" t="s">
        <v>134</v>
      </c>
      <c r="F6" s="10" t="s">
        <v>137</v>
      </c>
      <c r="G6" s="10" t="s">
        <v>138</v>
      </c>
      <c r="H6" s="10" t="s">
        <v>139</v>
      </c>
      <c r="I6" s="10" t="s">
        <v>136</v>
      </c>
      <c r="J6" s="10" t="s">
        <v>135</v>
      </c>
      <c r="K6" s="10" t="s">
        <v>30</v>
      </c>
      <c r="L6" s="7" t="s">
        <v>177</v>
      </c>
      <c r="M6" s="6" t="s">
        <v>413</v>
      </c>
      <c r="N6" s="49"/>
      <c r="O6" s="49"/>
      <c r="P6" s="49"/>
      <c r="Q6" s="49"/>
      <c r="R6" s="49"/>
    </row>
    <row r="7" spans="1:18" x14ac:dyDescent="0.2">
      <c r="A7" s="342" t="s">
        <v>1355</v>
      </c>
      <c r="B7" s="342" t="s">
        <v>13</v>
      </c>
      <c r="C7" s="342" t="s">
        <v>10</v>
      </c>
      <c r="D7" s="342" t="s">
        <v>1356</v>
      </c>
      <c r="E7" s="160" t="s">
        <v>124</v>
      </c>
      <c r="F7" s="160" t="s">
        <v>263</v>
      </c>
      <c r="G7" s="160" t="s">
        <v>263</v>
      </c>
      <c r="H7" s="160" t="s">
        <v>263</v>
      </c>
      <c r="I7" s="160" t="s">
        <v>263</v>
      </c>
      <c r="J7" s="160" t="s">
        <v>263</v>
      </c>
      <c r="K7" s="160" t="s">
        <v>263</v>
      </c>
      <c r="L7" s="344" t="s">
        <v>1151</v>
      </c>
      <c r="M7" s="322" t="s">
        <v>463</v>
      </c>
    </row>
    <row r="8" spans="1:18" x14ac:dyDescent="0.2">
      <c r="A8" s="343"/>
      <c r="B8" s="343"/>
      <c r="C8" s="343"/>
      <c r="D8" s="343"/>
      <c r="E8" s="160" t="s">
        <v>125</v>
      </c>
      <c r="F8" s="91">
        <v>2329</v>
      </c>
      <c r="G8" s="91">
        <v>3051</v>
      </c>
      <c r="H8" s="91">
        <v>2321</v>
      </c>
      <c r="I8" s="91">
        <v>2136</v>
      </c>
      <c r="J8" s="91">
        <v>2097</v>
      </c>
      <c r="K8" s="91">
        <v>893</v>
      </c>
      <c r="L8" s="344"/>
      <c r="M8" s="322"/>
    </row>
    <row r="9" spans="1:18" x14ac:dyDescent="0.2">
      <c r="A9" s="342" t="s">
        <v>1357</v>
      </c>
      <c r="B9" s="342" t="s">
        <v>4</v>
      </c>
      <c r="C9" s="342" t="s">
        <v>1358</v>
      </c>
      <c r="D9" s="342" t="s">
        <v>1356</v>
      </c>
      <c r="E9" s="160" t="s">
        <v>124</v>
      </c>
      <c r="F9" s="160">
        <v>2</v>
      </c>
      <c r="G9" s="160">
        <v>2</v>
      </c>
      <c r="H9" s="160">
        <v>2</v>
      </c>
      <c r="I9" s="160">
        <v>2</v>
      </c>
      <c r="J9" s="160">
        <v>2</v>
      </c>
      <c r="K9" s="160">
        <v>2</v>
      </c>
      <c r="L9" s="344" t="s">
        <v>1151</v>
      </c>
      <c r="M9" s="322" t="s">
        <v>462</v>
      </c>
    </row>
    <row r="10" spans="1:18" x14ac:dyDescent="0.2">
      <c r="A10" s="343"/>
      <c r="B10" s="343"/>
      <c r="C10" s="343"/>
      <c r="D10" s="343"/>
      <c r="E10" s="160" t="s">
        <v>125</v>
      </c>
      <c r="F10" s="160">
        <v>2</v>
      </c>
      <c r="G10" s="160">
        <v>2</v>
      </c>
      <c r="H10" s="160">
        <v>2</v>
      </c>
      <c r="I10" s="160">
        <v>2</v>
      </c>
      <c r="J10" s="160">
        <v>2</v>
      </c>
      <c r="K10" s="160">
        <v>0</v>
      </c>
      <c r="L10" s="344"/>
      <c r="M10" s="322"/>
    </row>
    <row r="11" spans="1:18" x14ac:dyDescent="0.2">
      <c r="A11" s="342" t="s">
        <v>1359</v>
      </c>
      <c r="B11" s="342" t="s">
        <v>4</v>
      </c>
      <c r="C11" s="342" t="s">
        <v>10</v>
      </c>
      <c r="D11" s="342" t="s">
        <v>1356</v>
      </c>
      <c r="E11" s="160" t="s">
        <v>124</v>
      </c>
      <c r="F11" s="160">
        <v>2</v>
      </c>
      <c r="G11" s="160">
        <v>2</v>
      </c>
      <c r="H11" s="160">
        <v>2</v>
      </c>
      <c r="I11" s="160">
        <v>2</v>
      </c>
      <c r="J11" s="160">
        <v>2</v>
      </c>
      <c r="K11" s="160">
        <v>2</v>
      </c>
      <c r="L11" s="344" t="s">
        <v>1151</v>
      </c>
      <c r="M11" s="322" t="s">
        <v>461</v>
      </c>
    </row>
    <row r="12" spans="1:18" x14ac:dyDescent="0.2">
      <c r="A12" s="343"/>
      <c r="B12" s="343"/>
      <c r="C12" s="343"/>
      <c r="D12" s="343"/>
      <c r="E12" s="160" t="s">
        <v>125</v>
      </c>
      <c r="F12" s="160">
        <v>2</v>
      </c>
      <c r="G12" s="160">
        <v>2</v>
      </c>
      <c r="H12" s="160">
        <v>2</v>
      </c>
      <c r="I12" s="160">
        <v>2</v>
      </c>
      <c r="J12" s="160">
        <v>2</v>
      </c>
      <c r="K12" s="160">
        <v>1</v>
      </c>
      <c r="L12" s="344"/>
      <c r="M12" s="322"/>
    </row>
    <row r="13" spans="1:18" x14ac:dyDescent="0.2">
      <c r="A13" s="342" t="s">
        <v>1360</v>
      </c>
      <c r="B13" s="342" t="s">
        <v>4</v>
      </c>
      <c r="C13" s="342" t="s">
        <v>10</v>
      </c>
      <c r="D13" s="342" t="s">
        <v>1356</v>
      </c>
      <c r="E13" s="160" t="s">
        <v>124</v>
      </c>
      <c r="F13" s="160" t="s">
        <v>263</v>
      </c>
      <c r="G13" s="160" t="s">
        <v>263</v>
      </c>
      <c r="H13" s="160" t="s">
        <v>263</v>
      </c>
      <c r="I13" s="160" t="s">
        <v>263</v>
      </c>
      <c r="J13" s="160">
        <v>20</v>
      </c>
      <c r="K13" s="160">
        <v>20</v>
      </c>
      <c r="L13" s="344" t="s">
        <v>1151</v>
      </c>
      <c r="M13" s="322" t="s">
        <v>460</v>
      </c>
    </row>
    <row r="14" spans="1:18" x14ac:dyDescent="0.2">
      <c r="A14" s="343"/>
      <c r="B14" s="343"/>
      <c r="C14" s="343"/>
      <c r="D14" s="343"/>
      <c r="E14" s="160" t="s">
        <v>125</v>
      </c>
      <c r="F14" s="160" t="s">
        <v>263</v>
      </c>
      <c r="G14" s="160" t="s">
        <v>263</v>
      </c>
      <c r="H14" s="160" t="s">
        <v>263</v>
      </c>
      <c r="I14" s="160" t="s">
        <v>263</v>
      </c>
      <c r="J14" s="160">
        <v>20</v>
      </c>
      <c r="K14" s="160">
        <v>21</v>
      </c>
      <c r="L14" s="344"/>
      <c r="M14" s="322"/>
    </row>
    <row r="15" spans="1:18" x14ac:dyDescent="0.2">
      <c r="A15" s="342" t="s">
        <v>1361</v>
      </c>
      <c r="B15" s="342" t="s">
        <v>4</v>
      </c>
      <c r="C15" s="342" t="s">
        <v>10</v>
      </c>
      <c r="D15" s="342" t="s">
        <v>1356</v>
      </c>
      <c r="E15" s="160" t="s">
        <v>124</v>
      </c>
      <c r="F15" s="160" t="s">
        <v>263</v>
      </c>
      <c r="G15" s="160" t="s">
        <v>263</v>
      </c>
      <c r="H15" s="160" t="s">
        <v>263</v>
      </c>
      <c r="I15" s="160" t="s">
        <v>263</v>
      </c>
      <c r="J15" s="160">
        <v>12</v>
      </c>
      <c r="K15" s="160">
        <v>12</v>
      </c>
      <c r="L15" s="344" t="s">
        <v>1151</v>
      </c>
      <c r="M15" s="322"/>
    </row>
    <row r="16" spans="1:18" ht="12.75" customHeight="1" x14ac:dyDescent="0.2">
      <c r="A16" s="343"/>
      <c r="B16" s="343"/>
      <c r="C16" s="343"/>
      <c r="D16" s="343"/>
      <c r="E16" s="160" t="s">
        <v>125</v>
      </c>
      <c r="F16" s="160" t="s">
        <v>263</v>
      </c>
      <c r="G16" s="160" t="s">
        <v>263</v>
      </c>
      <c r="H16" s="160" t="s">
        <v>263</v>
      </c>
      <c r="I16" s="160" t="s">
        <v>263</v>
      </c>
      <c r="J16" s="160">
        <v>7</v>
      </c>
      <c r="K16" s="160">
        <v>2</v>
      </c>
      <c r="L16" s="344"/>
      <c r="M16" s="322" t="s">
        <v>459</v>
      </c>
    </row>
    <row r="17" spans="1:13" x14ac:dyDescent="0.2">
      <c r="A17" s="342" t="s">
        <v>1362</v>
      </c>
      <c r="B17" s="342" t="s">
        <v>4</v>
      </c>
      <c r="C17" s="342" t="s">
        <v>10</v>
      </c>
      <c r="D17" s="342" t="s">
        <v>1356</v>
      </c>
      <c r="E17" s="160" t="s">
        <v>124</v>
      </c>
      <c r="F17" s="160" t="s">
        <v>263</v>
      </c>
      <c r="G17" s="160" t="s">
        <v>263</v>
      </c>
      <c r="H17" s="160" t="s">
        <v>263</v>
      </c>
      <c r="I17" s="160" t="s">
        <v>263</v>
      </c>
      <c r="J17" s="160">
        <v>3</v>
      </c>
      <c r="K17" s="160">
        <v>3</v>
      </c>
      <c r="L17" s="344" t="s">
        <v>1151</v>
      </c>
      <c r="M17" s="322"/>
    </row>
    <row r="18" spans="1:13" x14ac:dyDescent="0.2">
      <c r="A18" s="343"/>
      <c r="B18" s="343"/>
      <c r="C18" s="343"/>
      <c r="D18" s="343"/>
      <c r="E18" s="160" t="s">
        <v>125</v>
      </c>
      <c r="F18" s="160" t="s">
        <v>263</v>
      </c>
      <c r="G18" s="160" t="s">
        <v>263</v>
      </c>
      <c r="H18" s="160" t="s">
        <v>263</v>
      </c>
      <c r="I18" s="160" t="s">
        <v>263</v>
      </c>
      <c r="J18" s="160">
        <v>5</v>
      </c>
      <c r="K18" s="160">
        <v>3</v>
      </c>
      <c r="L18" s="344"/>
      <c r="M18" s="322" t="s">
        <v>458</v>
      </c>
    </row>
    <row r="19" spans="1:13" x14ac:dyDescent="0.2">
      <c r="A19" s="342" t="s">
        <v>1363</v>
      </c>
      <c r="B19" s="342" t="s">
        <v>4</v>
      </c>
      <c r="C19" s="342" t="s">
        <v>10</v>
      </c>
      <c r="D19" s="342" t="s">
        <v>1356</v>
      </c>
      <c r="E19" s="160" t="s">
        <v>124</v>
      </c>
      <c r="F19" s="160" t="s">
        <v>263</v>
      </c>
      <c r="G19" s="160" t="s">
        <v>263</v>
      </c>
      <c r="H19" s="160" t="s">
        <v>263</v>
      </c>
      <c r="I19" s="160" t="s">
        <v>263</v>
      </c>
      <c r="J19" s="160">
        <v>12</v>
      </c>
      <c r="K19" s="160">
        <v>12</v>
      </c>
      <c r="L19" s="344" t="s">
        <v>1151</v>
      </c>
      <c r="M19" s="322"/>
    </row>
    <row r="20" spans="1:13" x14ac:dyDescent="0.2">
      <c r="A20" s="343"/>
      <c r="B20" s="343"/>
      <c r="C20" s="343"/>
      <c r="D20" s="343"/>
      <c r="E20" s="160" t="s">
        <v>125</v>
      </c>
      <c r="F20" s="160" t="s">
        <v>263</v>
      </c>
      <c r="G20" s="160" t="s">
        <v>263</v>
      </c>
      <c r="H20" s="160" t="s">
        <v>263</v>
      </c>
      <c r="I20" s="160" t="s">
        <v>263</v>
      </c>
      <c r="J20" s="160">
        <v>20</v>
      </c>
      <c r="K20" s="160">
        <v>4</v>
      </c>
      <c r="L20" s="344"/>
      <c r="M20" s="322" t="s">
        <v>457</v>
      </c>
    </row>
    <row r="21" spans="1:13" x14ac:dyDescent="0.2">
      <c r="A21" s="342" t="s">
        <v>1364</v>
      </c>
      <c r="B21" s="342" t="s">
        <v>13</v>
      </c>
      <c r="C21" s="342" t="s">
        <v>10</v>
      </c>
      <c r="D21" s="342" t="s">
        <v>1356</v>
      </c>
      <c r="E21" s="160" t="s">
        <v>124</v>
      </c>
      <c r="F21" s="160" t="s">
        <v>263</v>
      </c>
      <c r="G21" s="160" t="s">
        <v>263</v>
      </c>
      <c r="H21" s="160" t="s">
        <v>263</v>
      </c>
      <c r="I21" s="160" t="s">
        <v>263</v>
      </c>
      <c r="J21" s="160" t="s">
        <v>263</v>
      </c>
      <c r="K21" s="160" t="s">
        <v>263</v>
      </c>
      <c r="L21" s="344" t="s">
        <v>1365</v>
      </c>
      <c r="M21" s="322"/>
    </row>
    <row r="22" spans="1:13" ht="12.75" customHeight="1" x14ac:dyDescent="0.2">
      <c r="A22" s="343"/>
      <c r="B22" s="343"/>
      <c r="C22" s="343"/>
      <c r="D22" s="343"/>
      <c r="E22" s="160" t="s">
        <v>125</v>
      </c>
      <c r="F22" s="91" t="s">
        <v>263</v>
      </c>
      <c r="G22" s="91" t="s">
        <v>263</v>
      </c>
      <c r="H22" s="91" t="s">
        <v>263</v>
      </c>
      <c r="I22" s="91" t="s">
        <v>263</v>
      </c>
      <c r="J22" s="91">
        <v>9</v>
      </c>
      <c r="K22" s="91">
        <v>10</v>
      </c>
      <c r="L22" s="344"/>
      <c r="M22" s="322" t="s">
        <v>456</v>
      </c>
    </row>
    <row r="23" spans="1:13" x14ac:dyDescent="0.2">
      <c r="A23" s="342" t="s">
        <v>1366</v>
      </c>
      <c r="B23" s="342" t="s">
        <v>13</v>
      </c>
      <c r="C23" s="342" t="s">
        <v>1358</v>
      </c>
      <c r="D23" s="342" t="s">
        <v>1356</v>
      </c>
      <c r="E23" s="160" t="s">
        <v>124</v>
      </c>
      <c r="F23" s="160" t="s">
        <v>263</v>
      </c>
      <c r="G23" s="160" t="s">
        <v>263</v>
      </c>
      <c r="H23" s="160" t="s">
        <v>263</v>
      </c>
      <c r="I23" s="160" t="s">
        <v>263</v>
      </c>
      <c r="J23" s="160" t="s">
        <v>263</v>
      </c>
      <c r="K23" s="160" t="s">
        <v>263</v>
      </c>
      <c r="L23" s="344" t="s">
        <v>1365</v>
      </c>
      <c r="M23" s="322"/>
    </row>
    <row r="24" spans="1:13" ht="12.75" customHeight="1" x14ac:dyDescent="0.2">
      <c r="A24" s="343"/>
      <c r="B24" s="343"/>
      <c r="C24" s="343"/>
      <c r="D24" s="343"/>
      <c r="E24" s="160" t="s">
        <v>125</v>
      </c>
      <c r="F24" s="160" t="s">
        <v>263</v>
      </c>
      <c r="G24" s="160" t="s">
        <v>263</v>
      </c>
      <c r="H24" s="160" t="s">
        <v>263</v>
      </c>
      <c r="I24" s="160" t="s">
        <v>263</v>
      </c>
      <c r="J24" s="160" t="s">
        <v>263</v>
      </c>
      <c r="K24" s="160" t="s">
        <v>263</v>
      </c>
      <c r="L24" s="344"/>
      <c r="M24" s="322" t="s">
        <v>455</v>
      </c>
    </row>
    <row r="25" spans="1:13" x14ac:dyDescent="0.2">
      <c r="A25" s="342" t="s">
        <v>1367</v>
      </c>
      <c r="B25" s="342" t="s">
        <v>13</v>
      </c>
      <c r="C25" s="342" t="s">
        <v>1358</v>
      </c>
      <c r="D25" s="342" t="s">
        <v>1356</v>
      </c>
      <c r="E25" s="160" t="s">
        <v>124</v>
      </c>
      <c r="F25" s="89" t="s">
        <v>263</v>
      </c>
      <c r="G25" s="160" t="s">
        <v>263</v>
      </c>
      <c r="H25" s="160" t="s">
        <v>263</v>
      </c>
      <c r="I25" s="160" t="s">
        <v>263</v>
      </c>
      <c r="J25" s="89">
        <v>1</v>
      </c>
      <c r="K25" s="89">
        <v>1</v>
      </c>
      <c r="L25" s="344" t="s">
        <v>1151</v>
      </c>
      <c r="M25" s="322"/>
    </row>
    <row r="26" spans="1:13" x14ac:dyDescent="0.2">
      <c r="A26" s="343"/>
      <c r="B26" s="343"/>
      <c r="C26" s="343"/>
      <c r="D26" s="343"/>
      <c r="E26" s="160" t="s">
        <v>125</v>
      </c>
      <c r="F26" s="89" t="s">
        <v>1633</v>
      </c>
      <c r="G26" s="160" t="s">
        <v>263</v>
      </c>
      <c r="H26" s="160" t="s">
        <v>263</v>
      </c>
      <c r="I26" s="160" t="s">
        <v>263</v>
      </c>
      <c r="J26" s="89">
        <v>1</v>
      </c>
      <c r="K26" s="160" t="s">
        <v>263</v>
      </c>
      <c r="L26" s="344"/>
      <c r="M26" s="322" t="s">
        <v>454</v>
      </c>
    </row>
    <row r="27" spans="1:13" x14ac:dyDescent="0.2">
      <c r="A27" s="342" t="s">
        <v>1368</v>
      </c>
      <c r="B27" s="342" t="s">
        <v>4</v>
      </c>
      <c r="C27" s="342" t="s">
        <v>1358</v>
      </c>
      <c r="D27" s="342" t="s">
        <v>1356</v>
      </c>
      <c r="E27" s="160" t="s">
        <v>124</v>
      </c>
      <c r="F27" s="89">
        <v>0.85</v>
      </c>
      <c r="G27" s="89">
        <v>0.85</v>
      </c>
      <c r="H27" s="89">
        <v>0.85</v>
      </c>
      <c r="I27" s="89">
        <v>0.85</v>
      </c>
      <c r="J27" s="89">
        <v>0.85</v>
      </c>
      <c r="K27" s="89">
        <v>0.85</v>
      </c>
      <c r="L27" s="344" t="s">
        <v>1151</v>
      </c>
      <c r="M27" s="322"/>
    </row>
    <row r="28" spans="1:13" x14ac:dyDescent="0.2">
      <c r="A28" s="343"/>
      <c r="B28" s="343"/>
      <c r="C28" s="343"/>
      <c r="D28" s="343"/>
      <c r="E28" s="160" t="s">
        <v>125</v>
      </c>
      <c r="F28" s="160" t="s">
        <v>1369</v>
      </c>
      <c r="G28" s="160" t="s">
        <v>1369</v>
      </c>
      <c r="H28" s="160" t="s">
        <v>1369</v>
      </c>
      <c r="I28" s="160" t="s">
        <v>1369</v>
      </c>
      <c r="J28" s="160" t="s">
        <v>1369</v>
      </c>
      <c r="K28" s="160" t="s">
        <v>1369</v>
      </c>
      <c r="L28" s="344"/>
      <c r="M28" s="322" t="s">
        <v>453</v>
      </c>
    </row>
    <row r="29" spans="1:13" x14ac:dyDescent="0.2">
      <c r="A29" s="342" t="s">
        <v>1370</v>
      </c>
      <c r="B29" s="342" t="s">
        <v>4</v>
      </c>
      <c r="C29" s="342" t="s">
        <v>1358</v>
      </c>
      <c r="D29" s="342" t="s">
        <v>1371</v>
      </c>
      <c r="E29" s="160" t="s">
        <v>124</v>
      </c>
      <c r="F29" s="160">
        <v>45</v>
      </c>
      <c r="G29" s="160">
        <v>45</v>
      </c>
      <c r="H29" s="160">
        <v>45</v>
      </c>
      <c r="I29" s="160">
        <v>45</v>
      </c>
      <c r="J29" s="160">
        <v>37</v>
      </c>
      <c r="K29" s="160">
        <v>37</v>
      </c>
      <c r="L29" s="344" t="s">
        <v>1151</v>
      </c>
      <c r="M29" s="322"/>
    </row>
    <row r="30" spans="1:13" ht="12.75" customHeight="1" x14ac:dyDescent="0.2">
      <c r="A30" s="343"/>
      <c r="B30" s="343"/>
      <c r="C30" s="343"/>
      <c r="D30" s="343"/>
      <c r="E30" s="160" t="s">
        <v>125</v>
      </c>
      <c r="F30" s="160">
        <v>59</v>
      </c>
      <c r="G30" s="160">
        <v>54</v>
      </c>
      <c r="H30" s="160">
        <v>52</v>
      </c>
      <c r="I30" s="160">
        <v>70</v>
      </c>
      <c r="J30" s="160">
        <v>52</v>
      </c>
      <c r="K30" s="160">
        <v>70</v>
      </c>
      <c r="L30" s="344"/>
      <c r="M30" s="322" t="s">
        <v>452</v>
      </c>
    </row>
    <row r="31" spans="1:13" ht="21.75" customHeight="1" x14ac:dyDescent="0.2">
      <c r="A31" s="342" t="s">
        <v>1372</v>
      </c>
      <c r="B31" s="342" t="s">
        <v>2</v>
      </c>
      <c r="C31" s="342" t="s">
        <v>10</v>
      </c>
      <c r="D31" s="342" t="s">
        <v>1371</v>
      </c>
      <c r="E31" s="160" t="s">
        <v>124</v>
      </c>
      <c r="F31" s="160" t="s">
        <v>263</v>
      </c>
      <c r="G31" s="160" t="s">
        <v>263</v>
      </c>
      <c r="H31" s="160" t="s">
        <v>263</v>
      </c>
      <c r="I31" s="160" t="s">
        <v>263</v>
      </c>
      <c r="J31" s="160" t="s">
        <v>263</v>
      </c>
      <c r="K31" s="160" t="s">
        <v>263</v>
      </c>
      <c r="L31" s="344" t="s">
        <v>1151</v>
      </c>
      <c r="M31" s="322"/>
    </row>
    <row r="32" spans="1:13" ht="12.75" hidden="1" customHeight="1" x14ac:dyDescent="0.2">
      <c r="A32" s="343"/>
      <c r="B32" s="343"/>
      <c r="C32" s="343"/>
      <c r="D32" s="343"/>
      <c r="E32" s="160" t="s">
        <v>125</v>
      </c>
      <c r="F32" s="160">
        <v>557</v>
      </c>
      <c r="G32" s="160">
        <v>938</v>
      </c>
      <c r="H32" s="160">
        <v>532</v>
      </c>
      <c r="I32" s="160">
        <v>899</v>
      </c>
      <c r="J32" s="160">
        <v>655</v>
      </c>
      <c r="K32" s="160">
        <v>948</v>
      </c>
      <c r="L32" s="344"/>
      <c r="M32" s="322" t="s">
        <v>451</v>
      </c>
    </row>
    <row r="33" spans="1:13" x14ac:dyDescent="0.2">
      <c r="A33" s="342" t="s">
        <v>1373</v>
      </c>
      <c r="B33" s="342" t="s">
        <v>4</v>
      </c>
      <c r="C33" s="342" t="s">
        <v>1358</v>
      </c>
      <c r="D33" s="342" t="s">
        <v>1371</v>
      </c>
      <c r="E33" s="160" t="s">
        <v>124</v>
      </c>
      <c r="F33" s="160">
        <v>25</v>
      </c>
      <c r="G33" s="160">
        <v>25</v>
      </c>
      <c r="H33" s="160">
        <v>25</v>
      </c>
      <c r="I33" s="160">
        <v>25</v>
      </c>
      <c r="J33" s="160">
        <v>20</v>
      </c>
      <c r="K33" s="160">
        <v>20</v>
      </c>
      <c r="L33" s="344" t="s">
        <v>1151</v>
      </c>
      <c r="M33" s="322"/>
    </row>
    <row r="34" spans="1:13" ht="12.75" customHeight="1" x14ac:dyDescent="0.2">
      <c r="A34" s="343"/>
      <c r="B34" s="343"/>
      <c r="C34" s="343"/>
      <c r="D34" s="343"/>
      <c r="E34" s="160" t="s">
        <v>125</v>
      </c>
      <c r="F34" s="160">
        <v>68</v>
      </c>
      <c r="G34" s="160">
        <v>56</v>
      </c>
      <c r="H34" s="160">
        <v>56</v>
      </c>
      <c r="I34" s="160">
        <v>65</v>
      </c>
      <c r="J34" s="160">
        <v>55</v>
      </c>
      <c r="K34" s="160">
        <v>36</v>
      </c>
      <c r="L34" s="344"/>
      <c r="M34" s="322" t="s">
        <v>450</v>
      </c>
    </row>
    <row r="35" spans="1:13" x14ac:dyDescent="0.2">
      <c r="A35" s="342" t="s">
        <v>1374</v>
      </c>
      <c r="B35" s="342" t="s">
        <v>2</v>
      </c>
      <c r="C35" s="342" t="s">
        <v>10</v>
      </c>
      <c r="D35" s="342" t="s">
        <v>1371</v>
      </c>
      <c r="E35" s="160" t="s">
        <v>124</v>
      </c>
      <c r="F35" s="160" t="s">
        <v>263</v>
      </c>
      <c r="G35" s="160" t="s">
        <v>263</v>
      </c>
      <c r="H35" s="160" t="s">
        <v>263</v>
      </c>
      <c r="I35" s="160" t="s">
        <v>263</v>
      </c>
      <c r="J35" s="160" t="s">
        <v>263</v>
      </c>
      <c r="K35" s="160" t="s">
        <v>263</v>
      </c>
      <c r="L35" s="344" t="s">
        <v>1151</v>
      </c>
      <c r="M35" s="322"/>
    </row>
    <row r="36" spans="1:13" ht="12.75" customHeight="1" x14ac:dyDescent="0.2">
      <c r="A36" s="343"/>
      <c r="B36" s="343"/>
      <c r="C36" s="343"/>
      <c r="D36" s="343"/>
      <c r="E36" s="160" t="s">
        <v>125</v>
      </c>
      <c r="F36" s="160">
        <v>3977</v>
      </c>
      <c r="G36" s="160">
        <v>3178</v>
      </c>
      <c r="H36" s="160">
        <v>1576</v>
      </c>
      <c r="I36" s="160">
        <v>4522</v>
      </c>
      <c r="J36" s="160">
        <v>3902</v>
      </c>
      <c r="K36" s="160">
        <v>5629</v>
      </c>
      <c r="L36" s="344"/>
      <c r="M36" s="322" t="s">
        <v>443</v>
      </c>
    </row>
    <row r="37" spans="1:13" x14ac:dyDescent="0.2">
      <c r="A37" s="342" t="s">
        <v>1375</v>
      </c>
      <c r="B37" s="342" t="s">
        <v>3</v>
      </c>
      <c r="C37" s="342" t="s">
        <v>1358</v>
      </c>
      <c r="D37" s="342" t="s">
        <v>1371</v>
      </c>
      <c r="E37" s="160" t="s">
        <v>124</v>
      </c>
      <c r="F37" s="89">
        <v>1</v>
      </c>
      <c r="G37" s="89">
        <v>1</v>
      </c>
      <c r="H37" s="89">
        <v>1</v>
      </c>
      <c r="I37" s="89">
        <v>1</v>
      </c>
      <c r="J37" s="89">
        <v>1</v>
      </c>
      <c r="K37" s="89">
        <v>1</v>
      </c>
      <c r="L37" s="344" t="s">
        <v>1151</v>
      </c>
      <c r="M37" s="322"/>
    </row>
    <row r="38" spans="1:13" ht="12.75" customHeight="1" x14ac:dyDescent="0.2">
      <c r="A38" s="343"/>
      <c r="B38" s="343"/>
      <c r="C38" s="343"/>
      <c r="D38" s="343"/>
      <c r="E38" s="160" t="s">
        <v>125</v>
      </c>
      <c r="F38" s="90">
        <v>0.875</v>
      </c>
      <c r="G38" s="89">
        <v>1</v>
      </c>
      <c r="H38" s="90">
        <v>0.85699999999999998</v>
      </c>
      <c r="I38" s="90">
        <v>0.88900000000000001</v>
      </c>
      <c r="J38" s="90">
        <v>0.66700000000000004</v>
      </c>
      <c r="K38" s="89">
        <v>1</v>
      </c>
      <c r="L38" s="344"/>
      <c r="M38" s="322" t="s">
        <v>449</v>
      </c>
    </row>
    <row r="39" spans="1:13" x14ac:dyDescent="0.2">
      <c r="A39" s="342" t="s">
        <v>1376</v>
      </c>
      <c r="B39" s="342" t="s">
        <v>4</v>
      </c>
      <c r="C39" s="342" t="s">
        <v>10</v>
      </c>
      <c r="D39" s="342" t="s">
        <v>1371</v>
      </c>
      <c r="E39" s="160" t="s">
        <v>124</v>
      </c>
      <c r="F39" s="160" t="s">
        <v>263</v>
      </c>
      <c r="G39" s="160" t="s">
        <v>263</v>
      </c>
      <c r="H39" s="160" t="s">
        <v>263</v>
      </c>
      <c r="I39" s="160" t="s">
        <v>263</v>
      </c>
      <c r="J39" s="160" t="s">
        <v>263</v>
      </c>
      <c r="K39" s="160">
        <v>20</v>
      </c>
      <c r="L39" s="344" t="s">
        <v>1151</v>
      </c>
      <c r="M39" s="322"/>
    </row>
    <row r="40" spans="1:13" x14ac:dyDescent="0.2">
      <c r="A40" s="343"/>
      <c r="B40" s="343"/>
      <c r="C40" s="343"/>
      <c r="D40" s="343"/>
      <c r="E40" s="160" t="s">
        <v>125</v>
      </c>
      <c r="F40" s="160">
        <v>0</v>
      </c>
      <c r="G40" s="160">
        <v>0</v>
      </c>
      <c r="H40" s="160">
        <v>16</v>
      </c>
      <c r="I40" s="160">
        <v>22</v>
      </c>
      <c r="J40" s="160">
        <v>0</v>
      </c>
      <c r="K40" s="160">
        <v>25</v>
      </c>
      <c r="L40" s="344"/>
      <c r="M40" s="322" t="s">
        <v>448</v>
      </c>
    </row>
    <row r="41" spans="1:13" x14ac:dyDescent="0.2">
      <c r="A41" s="342" t="s">
        <v>1402</v>
      </c>
      <c r="B41" s="342" t="s">
        <v>2</v>
      </c>
      <c r="C41" s="342" t="s">
        <v>10</v>
      </c>
      <c r="D41" s="342" t="s">
        <v>1371</v>
      </c>
      <c r="E41" s="160" t="s">
        <v>124</v>
      </c>
      <c r="F41" s="160" t="s">
        <v>263</v>
      </c>
      <c r="G41" s="160" t="s">
        <v>263</v>
      </c>
      <c r="H41" s="160" t="s">
        <v>263</v>
      </c>
      <c r="I41" s="160" t="s">
        <v>263</v>
      </c>
      <c r="J41" s="160" t="s">
        <v>263</v>
      </c>
      <c r="K41" s="160">
        <v>175</v>
      </c>
      <c r="L41" s="344" t="s">
        <v>1151</v>
      </c>
      <c r="M41" s="322"/>
    </row>
    <row r="42" spans="1:13" x14ac:dyDescent="0.2">
      <c r="A42" s="343"/>
      <c r="B42" s="343"/>
      <c r="C42" s="343"/>
      <c r="D42" s="343"/>
      <c r="E42" s="160" t="s">
        <v>125</v>
      </c>
      <c r="F42" s="160">
        <v>0</v>
      </c>
      <c r="G42" s="160">
        <v>0</v>
      </c>
      <c r="H42" s="160">
        <v>141</v>
      </c>
      <c r="I42" s="160">
        <v>108</v>
      </c>
      <c r="J42" s="160">
        <v>0</v>
      </c>
      <c r="K42" s="160">
        <v>185</v>
      </c>
      <c r="L42" s="344"/>
      <c r="M42" s="322" t="s">
        <v>447</v>
      </c>
    </row>
    <row r="43" spans="1:13" x14ac:dyDescent="0.2">
      <c r="A43" s="342" t="s">
        <v>1377</v>
      </c>
      <c r="B43" s="342" t="s">
        <v>4</v>
      </c>
      <c r="C43" s="342" t="s">
        <v>10</v>
      </c>
      <c r="D43" s="342" t="s">
        <v>1356</v>
      </c>
      <c r="E43" s="160" t="s">
        <v>124</v>
      </c>
      <c r="F43" s="160" t="s">
        <v>263</v>
      </c>
      <c r="G43" s="160" t="s">
        <v>263</v>
      </c>
      <c r="H43" s="160" t="s">
        <v>263</v>
      </c>
      <c r="I43" s="160" t="s">
        <v>263</v>
      </c>
      <c r="J43" s="160" t="s">
        <v>263</v>
      </c>
      <c r="K43" s="160" t="s">
        <v>263</v>
      </c>
      <c r="L43" s="344" t="s">
        <v>1151</v>
      </c>
      <c r="M43" s="322"/>
    </row>
    <row r="44" spans="1:13" x14ac:dyDescent="0.2">
      <c r="A44" s="343"/>
      <c r="B44" s="343"/>
      <c r="C44" s="343"/>
      <c r="D44" s="343"/>
      <c r="E44" s="160" t="s">
        <v>125</v>
      </c>
      <c r="F44" s="160">
        <v>461</v>
      </c>
      <c r="G44" s="160">
        <v>400</v>
      </c>
      <c r="H44" s="160">
        <v>436</v>
      </c>
      <c r="I44" s="160">
        <v>322</v>
      </c>
      <c r="J44" s="160">
        <v>268</v>
      </c>
      <c r="K44" s="160">
        <v>178</v>
      </c>
      <c r="L44" s="344"/>
      <c r="M44" s="322" t="s">
        <v>447</v>
      </c>
    </row>
    <row r="45" spans="1:13" x14ac:dyDescent="0.2">
      <c r="A45" s="342" t="s">
        <v>1378</v>
      </c>
      <c r="B45" s="342" t="s">
        <v>2</v>
      </c>
      <c r="C45" s="342" t="s">
        <v>10</v>
      </c>
      <c r="D45" s="342" t="s">
        <v>1356</v>
      </c>
      <c r="E45" s="160" t="s">
        <v>124</v>
      </c>
      <c r="F45" s="160" t="s">
        <v>263</v>
      </c>
      <c r="G45" s="160" t="s">
        <v>263</v>
      </c>
      <c r="H45" s="160" t="s">
        <v>263</v>
      </c>
      <c r="I45" s="160" t="s">
        <v>263</v>
      </c>
      <c r="J45" s="160" t="s">
        <v>263</v>
      </c>
      <c r="K45" s="160" t="s">
        <v>263</v>
      </c>
      <c r="L45" s="344" t="s">
        <v>1151</v>
      </c>
      <c r="M45" s="322"/>
    </row>
    <row r="46" spans="1:13" x14ac:dyDescent="0.2">
      <c r="A46" s="343"/>
      <c r="B46" s="343"/>
      <c r="C46" s="343"/>
      <c r="D46" s="343"/>
      <c r="E46" s="160" t="s">
        <v>125</v>
      </c>
      <c r="F46" s="160">
        <v>3328</v>
      </c>
      <c r="G46" s="160">
        <v>2737</v>
      </c>
      <c r="H46" s="160">
        <v>2449</v>
      </c>
      <c r="I46" s="160">
        <v>2325</v>
      </c>
      <c r="J46" s="160">
        <v>1953</v>
      </c>
      <c r="K46" s="160">
        <v>1009</v>
      </c>
      <c r="L46" s="344"/>
      <c r="M46" s="322" t="s">
        <v>446</v>
      </c>
    </row>
    <row r="47" spans="1:13" x14ac:dyDescent="0.2">
      <c r="A47" s="342" t="s">
        <v>1379</v>
      </c>
      <c r="B47" s="342" t="s">
        <v>2</v>
      </c>
      <c r="C47" s="342" t="s">
        <v>10</v>
      </c>
      <c r="D47" s="342" t="s">
        <v>1356</v>
      </c>
      <c r="E47" s="160" t="s">
        <v>124</v>
      </c>
      <c r="F47" s="160" t="s">
        <v>263</v>
      </c>
      <c r="G47" s="160" t="s">
        <v>263</v>
      </c>
      <c r="H47" s="160" t="s">
        <v>263</v>
      </c>
      <c r="I47" s="160" t="s">
        <v>263</v>
      </c>
      <c r="J47" s="160" t="s">
        <v>263</v>
      </c>
      <c r="K47" s="160" t="s">
        <v>263</v>
      </c>
      <c r="L47" s="344" t="s">
        <v>1151</v>
      </c>
      <c r="M47" s="322"/>
    </row>
    <row r="48" spans="1:13" x14ac:dyDescent="0.2">
      <c r="A48" s="343"/>
      <c r="B48" s="343"/>
      <c r="C48" s="343"/>
      <c r="D48" s="343"/>
      <c r="E48" s="160" t="s">
        <v>125</v>
      </c>
      <c r="F48" s="160">
        <v>12604</v>
      </c>
      <c r="G48" s="160">
        <v>7905</v>
      </c>
      <c r="H48" s="160">
        <v>8032</v>
      </c>
      <c r="I48" s="160">
        <v>5702</v>
      </c>
      <c r="J48" s="160">
        <v>2223</v>
      </c>
      <c r="K48" s="160">
        <v>4769</v>
      </c>
      <c r="L48" s="344"/>
      <c r="M48" s="322" t="s">
        <v>445</v>
      </c>
    </row>
    <row r="49" spans="1:13" x14ac:dyDescent="0.2">
      <c r="A49" s="342" t="s">
        <v>1380</v>
      </c>
      <c r="B49" s="342" t="s">
        <v>4</v>
      </c>
      <c r="C49" s="342" t="s">
        <v>10</v>
      </c>
      <c r="D49" s="342" t="s">
        <v>1356</v>
      </c>
      <c r="E49" s="160" t="s">
        <v>124</v>
      </c>
      <c r="F49" s="160">
        <v>788</v>
      </c>
      <c r="G49" s="160">
        <v>755</v>
      </c>
      <c r="H49" s="160">
        <v>755</v>
      </c>
      <c r="I49" s="160">
        <v>755</v>
      </c>
      <c r="J49" s="160">
        <v>800</v>
      </c>
      <c r="K49" s="160">
        <v>688</v>
      </c>
      <c r="L49" s="344" t="s">
        <v>1151</v>
      </c>
      <c r="M49" s="322"/>
    </row>
    <row r="50" spans="1:13" x14ac:dyDescent="0.2">
      <c r="A50" s="343"/>
      <c r="B50" s="343"/>
      <c r="C50" s="343"/>
      <c r="D50" s="343"/>
      <c r="E50" s="160" t="s">
        <v>125</v>
      </c>
      <c r="F50" s="160">
        <v>919</v>
      </c>
      <c r="G50" s="160">
        <v>837</v>
      </c>
      <c r="H50" s="160">
        <v>919</v>
      </c>
      <c r="I50" s="160">
        <v>862</v>
      </c>
      <c r="J50" s="160">
        <v>870</v>
      </c>
      <c r="K50" s="160">
        <v>373</v>
      </c>
      <c r="L50" s="344"/>
      <c r="M50" s="322" t="s">
        <v>444</v>
      </c>
    </row>
    <row r="51" spans="1:13" x14ac:dyDescent="0.2">
      <c r="A51" s="342" t="s">
        <v>1381</v>
      </c>
      <c r="B51" s="342" t="s">
        <v>2</v>
      </c>
      <c r="C51" s="342" t="s">
        <v>10</v>
      </c>
      <c r="D51" s="342" t="s">
        <v>1131</v>
      </c>
      <c r="E51" s="160" t="s">
        <v>124</v>
      </c>
      <c r="F51" s="160" t="s">
        <v>263</v>
      </c>
      <c r="G51" s="160" t="s">
        <v>263</v>
      </c>
      <c r="H51" s="160" t="s">
        <v>263</v>
      </c>
      <c r="I51" s="160" t="s">
        <v>263</v>
      </c>
      <c r="J51" s="160" t="s">
        <v>263</v>
      </c>
      <c r="K51" s="160" t="s">
        <v>263</v>
      </c>
      <c r="L51" s="344" t="s">
        <v>1151</v>
      </c>
      <c r="M51" s="322"/>
    </row>
    <row r="52" spans="1:13" x14ac:dyDescent="0.2">
      <c r="A52" s="343"/>
      <c r="B52" s="343"/>
      <c r="C52" s="343"/>
      <c r="D52" s="343"/>
      <c r="E52" s="160" t="s">
        <v>125</v>
      </c>
      <c r="F52" s="160">
        <v>820</v>
      </c>
      <c r="G52" s="160">
        <v>1153</v>
      </c>
      <c r="H52" s="160">
        <v>285</v>
      </c>
      <c r="I52" s="160">
        <v>515</v>
      </c>
      <c r="J52" s="160">
        <v>485</v>
      </c>
      <c r="K52" s="160">
        <v>1179</v>
      </c>
      <c r="L52" s="344"/>
      <c r="M52" s="322" t="s">
        <v>443</v>
      </c>
    </row>
    <row r="53" spans="1:13" x14ac:dyDescent="0.2">
      <c r="A53" s="342" t="s">
        <v>1382</v>
      </c>
      <c r="B53" s="342" t="s">
        <v>2</v>
      </c>
      <c r="C53" s="342" t="s">
        <v>10</v>
      </c>
      <c r="D53" s="342" t="s">
        <v>1356</v>
      </c>
      <c r="E53" s="160" t="s">
        <v>124</v>
      </c>
      <c r="F53" s="160" t="s">
        <v>263</v>
      </c>
      <c r="G53" s="160" t="s">
        <v>263</v>
      </c>
      <c r="H53" s="160" t="s">
        <v>263</v>
      </c>
      <c r="I53" s="160" t="s">
        <v>263</v>
      </c>
      <c r="J53" s="160" t="s">
        <v>263</v>
      </c>
      <c r="K53" s="160" t="s">
        <v>263</v>
      </c>
      <c r="L53" s="344" t="s">
        <v>1151</v>
      </c>
      <c r="M53" s="322"/>
    </row>
    <row r="54" spans="1:13" x14ac:dyDescent="0.2">
      <c r="A54" s="343"/>
      <c r="B54" s="343"/>
      <c r="C54" s="343"/>
      <c r="D54" s="343"/>
      <c r="E54" s="160" t="s">
        <v>125</v>
      </c>
      <c r="F54" s="160">
        <v>919</v>
      </c>
      <c r="G54" s="160">
        <v>837</v>
      </c>
      <c r="H54" s="160">
        <v>919</v>
      </c>
      <c r="I54" s="160">
        <v>862</v>
      </c>
      <c r="J54" s="160">
        <v>870</v>
      </c>
      <c r="K54" s="160">
        <v>373</v>
      </c>
      <c r="L54" s="344"/>
      <c r="M54" s="322" t="s">
        <v>442</v>
      </c>
    </row>
    <row r="55" spans="1:13" x14ac:dyDescent="0.2">
      <c r="A55" s="342" t="s">
        <v>1383</v>
      </c>
      <c r="B55" s="342" t="s">
        <v>3</v>
      </c>
      <c r="C55" s="342" t="s">
        <v>10</v>
      </c>
      <c r="D55" s="342" t="s">
        <v>464</v>
      </c>
      <c r="E55" s="160" t="s">
        <v>124</v>
      </c>
      <c r="F55" s="160" t="s">
        <v>263</v>
      </c>
      <c r="G55" s="160" t="s">
        <v>263</v>
      </c>
      <c r="H55" s="160" t="s">
        <v>263</v>
      </c>
      <c r="I55" s="160" t="s">
        <v>263</v>
      </c>
      <c r="J55" s="160" t="s">
        <v>263</v>
      </c>
      <c r="K55" s="160" t="s">
        <v>263</v>
      </c>
      <c r="L55" s="344" t="s">
        <v>1151</v>
      </c>
      <c r="M55" s="322"/>
    </row>
    <row r="56" spans="1:13" x14ac:dyDescent="0.2">
      <c r="A56" s="343"/>
      <c r="B56" s="343"/>
      <c r="C56" s="343"/>
      <c r="D56" s="343"/>
      <c r="E56" s="160" t="s">
        <v>125</v>
      </c>
      <c r="F56" s="164">
        <v>1537438</v>
      </c>
      <c r="G56" s="164">
        <v>1635366</v>
      </c>
      <c r="H56" s="164">
        <v>1852570</v>
      </c>
      <c r="I56" s="164">
        <v>1721075</v>
      </c>
      <c r="J56" s="164">
        <v>1420226</v>
      </c>
      <c r="K56" s="164">
        <v>1429870</v>
      </c>
      <c r="L56" s="344"/>
      <c r="M56" s="322" t="s">
        <v>441</v>
      </c>
    </row>
    <row r="57" spans="1:13" x14ac:dyDescent="0.2">
      <c r="A57" s="342" t="s">
        <v>1384</v>
      </c>
      <c r="B57" s="342" t="s">
        <v>3</v>
      </c>
      <c r="C57" s="342" t="s">
        <v>10</v>
      </c>
      <c r="D57" s="342" t="s">
        <v>1371</v>
      </c>
      <c r="E57" s="160" t="s">
        <v>124</v>
      </c>
      <c r="F57" s="160" t="s">
        <v>263</v>
      </c>
      <c r="G57" s="160" t="s">
        <v>263</v>
      </c>
      <c r="H57" s="160" t="s">
        <v>263</v>
      </c>
      <c r="I57" s="160" t="s">
        <v>263</v>
      </c>
      <c r="J57" s="160" t="s">
        <v>263</v>
      </c>
      <c r="K57" s="160" t="s">
        <v>263</v>
      </c>
      <c r="L57" s="344" t="s">
        <v>1365</v>
      </c>
      <c r="M57" s="322"/>
    </row>
    <row r="58" spans="1:13" x14ac:dyDescent="0.2">
      <c r="A58" s="343"/>
      <c r="B58" s="343"/>
      <c r="C58" s="343"/>
      <c r="D58" s="343"/>
      <c r="E58" s="160" t="s">
        <v>125</v>
      </c>
      <c r="F58" s="160" t="s">
        <v>263</v>
      </c>
      <c r="G58" s="160" t="s">
        <v>263</v>
      </c>
      <c r="H58" s="160" t="s">
        <v>263</v>
      </c>
      <c r="I58" s="160" t="s">
        <v>263</v>
      </c>
      <c r="J58" s="160" t="s">
        <v>263</v>
      </c>
      <c r="K58" s="160" t="s">
        <v>263</v>
      </c>
      <c r="L58" s="344"/>
      <c r="M58" s="322" t="s">
        <v>440</v>
      </c>
    </row>
    <row r="59" spans="1:13" x14ac:dyDescent="0.2">
      <c r="A59" s="342" t="s">
        <v>1385</v>
      </c>
      <c r="B59" s="342" t="s">
        <v>13</v>
      </c>
      <c r="C59" s="342" t="s">
        <v>10</v>
      </c>
      <c r="D59" s="342" t="s">
        <v>1356</v>
      </c>
      <c r="E59" s="160" t="s">
        <v>124</v>
      </c>
      <c r="F59" s="160" t="s">
        <v>263</v>
      </c>
      <c r="G59" s="160" t="s">
        <v>263</v>
      </c>
      <c r="H59" s="160" t="s">
        <v>263</v>
      </c>
      <c r="I59" s="160" t="s">
        <v>263</v>
      </c>
      <c r="J59" s="160" t="s">
        <v>263</v>
      </c>
      <c r="K59" s="160" t="s">
        <v>263</v>
      </c>
      <c r="L59" s="344" t="s">
        <v>1151</v>
      </c>
      <c r="M59" s="322"/>
    </row>
    <row r="60" spans="1:13" x14ac:dyDescent="0.2">
      <c r="A60" s="343"/>
      <c r="B60" s="343"/>
      <c r="C60" s="343"/>
      <c r="D60" s="343"/>
      <c r="E60" s="160" t="s">
        <v>125</v>
      </c>
      <c r="F60" s="160">
        <v>42</v>
      </c>
      <c r="G60" s="160">
        <v>40</v>
      </c>
      <c r="H60" s="160">
        <v>41</v>
      </c>
      <c r="I60" s="160">
        <v>40</v>
      </c>
      <c r="J60" s="160">
        <v>40</v>
      </c>
      <c r="K60" s="160">
        <v>41</v>
      </c>
      <c r="L60" s="344"/>
      <c r="M60" s="322" t="s">
        <v>439</v>
      </c>
    </row>
    <row r="61" spans="1:13" x14ac:dyDescent="0.2">
      <c r="A61" s="342" t="s">
        <v>1386</v>
      </c>
      <c r="B61" s="342" t="s">
        <v>13</v>
      </c>
      <c r="C61" s="342" t="s">
        <v>10</v>
      </c>
      <c r="D61" s="342" t="s">
        <v>1356</v>
      </c>
      <c r="E61" s="160" t="s">
        <v>124</v>
      </c>
      <c r="F61" s="160">
        <v>2</v>
      </c>
      <c r="G61" s="160">
        <v>2</v>
      </c>
      <c r="H61" s="160">
        <v>2</v>
      </c>
      <c r="I61" s="160">
        <v>2</v>
      </c>
      <c r="J61" s="160">
        <v>1</v>
      </c>
      <c r="K61" s="160">
        <v>1</v>
      </c>
      <c r="L61" s="344" t="s">
        <v>1151</v>
      </c>
      <c r="M61" s="322"/>
    </row>
    <row r="62" spans="1:13" x14ac:dyDescent="0.2">
      <c r="A62" s="343"/>
      <c r="B62" s="343"/>
      <c r="C62" s="343"/>
      <c r="D62" s="343"/>
      <c r="E62" s="160" t="s">
        <v>125</v>
      </c>
      <c r="F62" s="160">
        <v>2</v>
      </c>
      <c r="G62" s="160">
        <v>2</v>
      </c>
      <c r="H62" s="160">
        <v>1</v>
      </c>
      <c r="I62" s="160">
        <v>1</v>
      </c>
      <c r="J62" s="160">
        <v>0</v>
      </c>
      <c r="K62" s="160">
        <v>0</v>
      </c>
      <c r="L62" s="344"/>
      <c r="M62" s="322" t="s">
        <v>438</v>
      </c>
    </row>
    <row r="63" spans="1:13" x14ac:dyDescent="0.2">
      <c r="A63" s="342" t="s">
        <v>1387</v>
      </c>
      <c r="B63" s="342" t="s">
        <v>2</v>
      </c>
      <c r="C63" s="342" t="s">
        <v>10</v>
      </c>
      <c r="D63" s="342" t="s">
        <v>1356</v>
      </c>
      <c r="E63" s="160" t="s">
        <v>124</v>
      </c>
      <c r="F63" s="160" t="s">
        <v>263</v>
      </c>
      <c r="G63" s="160" t="s">
        <v>263</v>
      </c>
      <c r="H63" s="160" t="s">
        <v>263</v>
      </c>
      <c r="I63" s="160" t="s">
        <v>263</v>
      </c>
      <c r="J63" s="160">
        <v>250</v>
      </c>
      <c r="K63" s="160">
        <v>500</v>
      </c>
      <c r="L63" s="344" t="s">
        <v>1151</v>
      </c>
      <c r="M63" s="322"/>
    </row>
    <row r="64" spans="1:13" x14ac:dyDescent="0.2">
      <c r="A64" s="343"/>
      <c r="B64" s="343"/>
      <c r="C64" s="343"/>
      <c r="D64" s="343"/>
      <c r="E64" s="160" t="s">
        <v>125</v>
      </c>
      <c r="F64" s="160" t="s">
        <v>263</v>
      </c>
      <c r="G64" s="160" t="s">
        <v>263</v>
      </c>
      <c r="H64" s="160" t="s">
        <v>263</v>
      </c>
      <c r="I64" s="160" t="s">
        <v>263</v>
      </c>
      <c r="J64" s="160">
        <v>370</v>
      </c>
      <c r="K64" s="160">
        <v>850</v>
      </c>
      <c r="L64" s="344"/>
      <c r="M64" s="322" t="s">
        <v>437</v>
      </c>
    </row>
    <row r="65" spans="1:13" x14ac:dyDescent="0.2">
      <c r="A65" s="342" t="s">
        <v>1388</v>
      </c>
      <c r="B65" s="342" t="s">
        <v>4</v>
      </c>
      <c r="C65" s="342" t="s">
        <v>10</v>
      </c>
      <c r="D65" s="342" t="s">
        <v>1356</v>
      </c>
      <c r="E65" s="160" t="s">
        <v>124</v>
      </c>
      <c r="F65" s="160" t="s">
        <v>263</v>
      </c>
      <c r="G65" s="160" t="s">
        <v>263</v>
      </c>
      <c r="H65" s="160" t="s">
        <v>263</v>
      </c>
      <c r="I65" s="160" t="s">
        <v>263</v>
      </c>
      <c r="J65" s="160">
        <v>1</v>
      </c>
      <c r="K65" s="160">
        <v>5</v>
      </c>
      <c r="L65" s="344" t="s">
        <v>1151</v>
      </c>
      <c r="M65" s="322"/>
    </row>
    <row r="66" spans="1:13" ht="13.15" customHeight="1" x14ac:dyDescent="0.2">
      <c r="A66" s="343"/>
      <c r="B66" s="343"/>
      <c r="C66" s="343"/>
      <c r="D66" s="343"/>
      <c r="E66" s="160" t="s">
        <v>125</v>
      </c>
      <c r="F66" s="160" t="s">
        <v>263</v>
      </c>
      <c r="G66" s="160" t="s">
        <v>263</v>
      </c>
      <c r="H66" s="160" t="s">
        <v>263</v>
      </c>
      <c r="I66" s="160" t="s">
        <v>263</v>
      </c>
      <c r="J66" s="160">
        <v>1</v>
      </c>
      <c r="K66" s="160">
        <v>3</v>
      </c>
      <c r="L66" s="344"/>
      <c r="M66" s="322" t="s">
        <v>436</v>
      </c>
    </row>
    <row r="67" spans="1:13" x14ac:dyDescent="0.2">
      <c r="A67" s="342" t="s">
        <v>1389</v>
      </c>
      <c r="B67" s="342" t="s">
        <v>13</v>
      </c>
      <c r="C67" s="342" t="s">
        <v>10</v>
      </c>
      <c r="D67" s="342" t="s">
        <v>1356</v>
      </c>
      <c r="E67" s="160" t="s">
        <v>124</v>
      </c>
      <c r="F67" s="160" t="s">
        <v>263</v>
      </c>
      <c r="G67" s="160" t="s">
        <v>263</v>
      </c>
      <c r="H67" s="160" t="s">
        <v>263</v>
      </c>
      <c r="I67" s="160" t="s">
        <v>263</v>
      </c>
      <c r="J67" s="160">
        <v>1</v>
      </c>
      <c r="K67" s="160">
        <v>3</v>
      </c>
      <c r="L67" s="344" t="s">
        <v>1151</v>
      </c>
      <c r="M67" s="322"/>
    </row>
    <row r="68" spans="1:13" x14ac:dyDescent="0.2">
      <c r="A68" s="343"/>
      <c r="B68" s="343"/>
      <c r="C68" s="343"/>
      <c r="D68" s="343"/>
      <c r="E68" s="160" t="s">
        <v>125</v>
      </c>
      <c r="F68" s="160" t="s">
        <v>263</v>
      </c>
      <c r="G68" s="160" t="s">
        <v>263</v>
      </c>
      <c r="H68" s="160" t="s">
        <v>263</v>
      </c>
      <c r="I68" s="160" t="s">
        <v>263</v>
      </c>
      <c r="J68" s="160">
        <v>1</v>
      </c>
      <c r="K68" s="160">
        <v>1</v>
      </c>
      <c r="L68" s="344"/>
      <c r="M68" s="322" t="s">
        <v>435</v>
      </c>
    </row>
    <row r="69" spans="1:13" x14ac:dyDescent="0.2">
      <c r="A69" s="342" t="s">
        <v>1390</v>
      </c>
      <c r="B69" s="342" t="s">
        <v>13</v>
      </c>
      <c r="C69" s="342" t="s">
        <v>10</v>
      </c>
      <c r="D69" s="342" t="s">
        <v>1356</v>
      </c>
      <c r="E69" s="160" t="s">
        <v>124</v>
      </c>
      <c r="F69" s="160" t="s">
        <v>263</v>
      </c>
      <c r="G69" s="160" t="s">
        <v>263</v>
      </c>
      <c r="H69" s="160" t="s">
        <v>263</v>
      </c>
      <c r="I69" s="160" t="s">
        <v>263</v>
      </c>
      <c r="J69" s="160">
        <v>5</v>
      </c>
      <c r="K69" s="160">
        <v>20</v>
      </c>
      <c r="L69" s="344" t="s">
        <v>1151</v>
      </c>
      <c r="M69" s="322"/>
    </row>
    <row r="70" spans="1:13" x14ac:dyDescent="0.2">
      <c r="A70" s="343"/>
      <c r="B70" s="343"/>
      <c r="C70" s="343"/>
      <c r="D70" s="343"/>
      <c r="E70" s="160" t="s">
        <v>125</v>
      </c>
      <c r="F70" s="160" t="s">
        <v>263</v>
      </c>
      <c r="G70" s="160" t="s">
        <v>263</v>
      </c>
      <c r="H70" s="160" t="s">
        <v>263</v>
      </c>
      <c r="I70" s="160" t="s">
        <v>263</v>
      </c>
      <c r="J70" s="160">
        <v>9</v>
      </c>
      <c r="K70" s="160">
        <v>21</v>
      </c>
      <c r="L70" s="344"/>
      <c r="M70" s="322" t="s">
        <v>434</v>
      </c>
    </row>
    <row r="71" spans="1:13" x14ac:dyDescent="0.2">
      <c r="A71" s="342" t="s">
        <v>1391</v>
      </c>
      <c r="B71" s="342" t="s">
        <v>13</v>
      </c>
      <c r="C71" s="342" t="s">
        <v>10</v>
      </c>
      <c r="D71" s="342" t="s">
        <v>1392</v>
      </c>
      <c r="E71" s="160" t="s">
        <v>124</v>
      </c>
      <c r="F71" s="160" t="s">
        <v>263</v>
      </c>
      <c r="G71" s="160" t="s">
        <v>263</v>
      </c>
      <c r="H71" s="160" t="s">
        <v>263</v>
      </c>
      <c r="I71" s="160" t="s">
        <v>263</v>
      </c>
      <c r="J71" s="160" t="s">
        <v>263</v>
      </c>
      <c r="K71" s="160">
        <v>12</v>
      </c>
      <c r="L71" s="344" t="s">
        <v>1151</v>
      </c>
      <c r="M71" s="322"/>
    </row>
    <row r="72" spans="1:13" x14ac:dyDescent="0.2">
      <c r="A72" s="343"/>
      <c r="B72" s="343"/>
      <c r="C72" s="343"/>
      <c r="D72" s="343"/>
      <c r="E72" s="160" t="s">
        <v>125</v>
      </c>
      <c r="F72" s="160">
        <v>12</v>
      </c>
      <c r="G72" s="160">
        <v>18</v>
      </c>
      <c r="H72" s="160">
        <v>20</v>
      </c>
      <c r="I72" s="160">
        <v>23</v>
      </c>
      <c r="J72" s="160">
        <v>14</v>
      </c>
      <c r="K72" s="160">
        <v>2</v>
      </c>
      <c r="L72" s="344"/>
      <c r="M72" s="322" t="s">
        <v>433</v>
      </c>
    </row>
    <row r="73" spans="1:13" x14ac:dyDescent="0.2">
      <c r="A73" s="342" t="s">
        <v>1393</v>
      </c>
      <c r="B73" s="342" t="s">
        <v>4</v>
      </c>
      <c r="C73" s="342" t="s">
        <v>10</v>
      </c>
      <c r="D73" s="342" t="s">
        <v>1131</v>
      </c>
      <c r="E73" s="160" t="s">
        <v>124</v>
      </c>
      <c r="F73" s="160" t="s">
        <v>263</v>
      </c>
      <c r="G73" s="160" t="s">
        <v>263</v>
      </c>
      <c r="H73" s="160" t="s">
        <v>263</v>
      </c>
      <c r="I73" s="160" t="s">
        <v>263</v>
      </c>
      <c r="J73" s="160">
        <v>1</v>
      </c>
      <c r="K73" s="160">
        <v>1</v>
      </c>
      <c r="L73" s="344" t="s">
        <v>1151</v>
      </c>
      <c r="M73" s="322"/>
    </row>
    <row r="74" spans="1:13" x14ac:dyDescent="0.2">
      <c r="A74" s="343"/>
      <c r="B74" s="343"/>
      <c r="C74" s="343"/>
      <c r="D74" s="343"/>
      <c r="E74" s="160" t="s">
        <v>125</v>
      </c>
      <c r="F74" s="160">
        <v>0</v>
      </c>
      <c r="G74" s="160">
        <v>1</v>
      </c>
      <c r="H74" s="160">
        <v>2</v>
      </c>
      <c r="I74" s="160">
        <v>2</v>
      </c>
      <c r="J74" s="160">
        <v>1</v>
      </c>
      <c r="K74" s="160">
        <v>0</v>
      </c>
      <c r="L74" s="344"/>
      <c r="M74" s="322" t="s">
        <v>432</v>
      </c>
    </row>
    <row r="75" spans="1:13" x14ac:dyDescent="0.2">
      <c r="A75" s="342" t="s">
        <v>1394</v>
      </c>
      <c r="B75" s="342" t="s">
        <v>13</v>
      </c>
      <c r="C75" s="342" t="s">
        <v>10</v>
      </c>
      <c r="D75" s="342" t="s">
        <v>1131</v>
      </c>
      <c r="E75" s="160" t="s">
        <v>124</v>
      </c>
      <c r="F75" s="160" t="s">
        <v>263</v>
      </c>
      <c r="G75" s="160" t="s">
        <v>263</v>
      </c>
      <c r="H75" s="160" t="s">
        <v>263</v>
      </c>
      <c r="I75" s="160" t="s">
        <v>263</v>
      </c>
      <c r="J75" s="160" t="s">
        <v>263</v>
      </c>
      <c r="K75" s="160" t="s">
        <v>263</v>
      </c>
      <c r="L75" s="344" t="s">
        <v>1151</v>
      </c>
      <c r="M75" s="322"/>
    </row>
    <row r="76" spans="1:13" x14ac:dyDescent="0.2">
      <c r="A76" s="343"/>
      <c r="B76" s="343"/>
      <c r="C76" s="343"/>
      <c r="D76" s="343"/>
      <c r="E76" s="160" t="s">
        <v>125</v>
      </c>
      <c r="F76" s="160">
        <v>5</v>
      </c>
      <c r="G76" s="160">
        <v>5</v>
      </c>
      <c r="H76" s="160">
        <v>9</v>
      </c>
      <c r="I76" s="160">
        <v>4</v>
      </c>
      <c r="J76" s="160">
        <v>6</v>
      </c>
      <c r="K76" s="160">
        <v>9</v>
      </c>
      <c r="L76" s="344"/>
      <c r="M76" s="322" t="s">
        <v>431</v>
      </c>
    </row>
    <row r="77" spans="1:13" x14ac:dyDescent="0.2">
      <c r="A77" s="342" t="s">
        <v>1395</v>
      </c>
      <c r="B77" s="342" t="s">
        <v>4</v>
      </c>
      <c r="C77" s="342" t="s">
        <v>10</v>
      </c>
      <c r="D77" s="342" t="s">
        <v>1131</v>
      </c>
      <c r="E77" s="160" t="s">
        <v>124</v>
      </c>
      <c r="F77" s="160" t="s">
        <v>263</v>
      </c>
      <c r="G77" s="160" t="s">
        <v>263</v>
      </c>
      <c r="H77" s="160" t="s">
        <v>263</v>
      </c>
      <c r="I77" s="160" t="s">
        <v>263</v>
      </c>
      <c r="J77" s="160" t="s">
        <v>263</v>
      </c>
      <c r="K77" s="160">
        <v>7</v>
      </c>
      <c r="L77" s="344" t="s">
        <v>1151</v>
      </c>
      <c r="M77" s="322"/>
    </row>
    <row r="78" spans="1:13" ht="13.9" customHeight="1" x14ac:dyDescent="0.2">
      <c r="A78" s="343"/>
      <c r="B78" s="343"/>
      <c r="C78" s="343"/>
      <c r="D78" s="343"/>
      <c r="E78" s="160" t="s">
        <v>125</v>
      </c>
      <c r="F78" s="160">
        <v>11</v>
      </c>
      <c r="G78" s="160">
        <v>4</v>
      </c>
      <c r="H78" s="160">
        <v>2</v>
      </c>
      <c r="I78" s="160">
        <v>20</v>
      </c>
      <c r="J78" s="160">
        <v>4</v>
      </c>
      <c r="K78" s="160">
        <v>8</v>
      </c>
      <c r="L78" s="344"/>
      <c r="M78" s="322"/>
    </row>
    <row r="79" spans="1:13" x14ac:dyDescent="0.2">
      <c r="A79" s="342" t="s">
        <v>1396</v>
      </c>
      <c r="B79" s="342" t="s">
        <v>13</v>
      </c>
      <c r="C79" s="342" t="s">
        <v>10</v>
      </c>
      <c r="D79" s="342" t="s">
        <v>1131</v>
      </c>
      <c r="E79" s="160" t="s">
        <v>124</v>
      </c>
      <c r="F79" s="160" t="s">
        <v>263</v>
      </c>
      <c r="G79" s="160" t="s">
        <v>263</v>
      </c>
      <c r="H79" s="160" t="s">
        <v>263</v>
      </c>
      <c r="I79" s="160" t="s">
        <v>263</v>
      </c>
      <c r="J79" s="160" t="s">
        <v>263</v>
      </c>
      <c r="K79" s="160" t="s">
        <v>263</v>
      </c>
      <c r="L79" s="344" t="s">
        <v>1151</v>
      </c>
      <c r="M79" s="322"/>
    </row>
    <row r="80" spans="1:13" x14ac:dyDescent="0.2">
      <c r="A80" s="343"/>
      <c r="B80" s="343"/>
      <c r="C80" s="343"/>
      <c r="D80" s="343"/>
      <c r="E80" s="160" t="s">
        <v>125</v>
      </c>
      <c r="F80" s="160">
        <v>11</v>
      </c>
      <c r="G80" s="160">
        <v>4</v>
      </c>
      <c r="H80" s="160">
        <v>7</v>
      </c>
      <c r="I80" s="160">
        <v>3</v>
      </c>
      <c r="J80" s="160">
        <v>4</v>
      </c>
      <c r="K80" s="160">
        <v>8</v>
      </c>
      <c r="L80" s="344"/>
      <c r="M80" s="322"/>
    </row>
    <row r="81" spans="1:13" x14ac:dyDescent="0.2">
      <c r="A81" s="342" t="s">
        <v>1397</v>
      </c>
      <c r="B81" s="342" t="s">
        <v>13</v>
      </c>
      <c r="C81" s="342" t="s">
        <v>10</v>
      </c>
      <c r="D81" s="342" t="s">
        <v>1131</v>
      </c>
      <c r="E81" s="160" t="s">
        <v>124</v>
      </c>
      <c r="F81" s="160" t="s">
        <v>263</v>
      </c>
      <c r="G81" s="160" t="s">
        <v>263</v>
      </c>
      <c r="H81" s="160" t="s">
        <v>263</v>
      </c>
      <c r="I81" s="160" t="s">
        <v>263</v>
      </c>
      <c r="J81" s="160" t="s">
        <v>263</v>
      </c>
      <c r="K81" s="160" t="s">
        <v>263</v>
      </c>
      <c r="L81" s="344" t="s">
        <v>1151</v>
      </c>
      <c r="M81" s="322"/>
    </row>
    <row r="82" spans="1:13" x14ac:dyDescent="0.2">
      <c r="A82" s="343"/>
      <c r="B82" s="343"/>
      <c r="C82" s="343"/>
      <c r="D82" s="343"/>
      <c r="E82" s="160" t="s">
        <v>125</v>
      </c>
      <c r="F82" s="160">
        <v>11</v>
      </c>
      <c r="G82" s="160">
        <v>10</v>
      </c>
      <c r="H82" s="160">
        <v>13</v>
      </c>
      <c r="I82" s="160">
        <v>17</v>
      </c>
      <c r="J82" s="160">
        <v>9</v>
      </c>
      <c r="K82" s="160">
        <v>0</v>
      </c>
      <c r="L82" s="344"/>
    </row>
    <row r="83" spans="1:13" x14ac:dyDescent="0.2">
      <c r="A83" s="342" t="s">
        <v>1398</v>
      </c>
      <c r="B83" s="342" t="s">
        <v>4</v>
      </c>
      <c r="C83" s="342" t="s">
        <v>10</v>
      </c>
      <c r="D83" s="342" t="s">
        <v>1131</v>
      </c>
      <c r="E83" s="160" t="s">
        <v>124</v>
      </c>
      <c r="F83" s="160" t="s">
        <v>263</v>
      </c>
      <c r="G83" s="160" t="s">
        <v>263</v>
      </c>
      <c r="H83" s="160" t="s">
        <v>263</v>
      </c>
      <c r="I83" s="160" t="s">
        <v>263</v>
      </c>
      <c r="J83" s="160" t="s">
        <v>263</v>
      </c>
      <c r="K83" s="160" t="s">
        <v>263</v>
      </c>
      <c r="L83" s="344" t="s">
        <v>1365</v>
      </c>
    </row>
    <row r="84" spans="1:13" x14ac:dyDescent="0.2">
      <c r="A84" s="343"/>
      <c r="B84" s="343"/>
      <c r="C84" s="343"/>
      <c r="D84" s="343"/>
      <c r="E84" s="160" t="s">
        <v>125</v>
      </c>
      <c r="F84" s="160" t="s">
        <v>263</v>
      </c>
      <c r="G84" s="160" t="s">
        <v>263</v>
      </c>
      <c r="H84" s="160" t="s">
        <v>263</v>
      </c>
      <c r="I84" s="160" t="s">
        <v>263</v>
      </c>
      <c r="J84" s="160" t="s">
        <v>263</v>
      </c>
      <c r="K84" s="160" t="s">
        <v>263</v>
      </c>
      <c r="L84" s="344"/>
    </row>
    <row r="85" spans="1:13" x14ac:dyDescent="0.2">
      <c r="A85" s="342" t="s">
        <v>1634</v>
      </c>
      <c r="B85" s="342" t="s">
        <v>13</v>
      </c>
      <c r="C85" s="342" t="s">
        <v>10</v>
      </c>
      <c r="D85" s="342" t="s">
        <v>1131</v>
      </c>
      <c r="E85" s="160" t="s">
        <v>124</v>
      </c>
      <c r="F85" s="160" t="s">
        <v>263</v>
      </c>
      <c r="G85" s="160" t="s">
        <v>263</v>
      </c>
      <c r="H85" s="160" t="s">
        <v>263</v>
      </c>
      <c r="I85" s="160" t="s">
        <v>263</v>
      </c>
      <c r="J85" s="160" t="s">
        <v>263</v>
      </c>
      <c r="K85" s="160" t="s">
        <v>263</v>
      </c>
      <c r="L85" s="344" t="s">
        <v>1151</v>
      </c>
    </row>
    <row r="86" spans="1:13" ht="13.9" customHeight="1" x14ac:dyDescent="0.2">
      <c r="A86" s="343"/>
      <c r="B86" s="343"/>
      <c r="C86" s="343"/>
      <c r="D86" s="343"/>
      <c r="E86" s="160" t="s">
        <v>125</v>
      </c>
      <c r="F86" s="160">
        <v>15</v>
      </c>
      <c r="G86" s="160">
        <v>16</v>
      </c>
      <c r="H86" s="160">
        <v>8</v>
      </c>
      <c r="I86" s="160">
        <v>8</v>
      </c>
      <c r="J86" s="160">
        <v>12</v>
      </c>
      <c r="K86" s="160">
        <v>18</v>
      </c>
      <c r="L86" s="344"/>
    </row>
    <row r="87" spans="1:13" ht="12.75" customHeight="1" x14ac:dyDescent="0.2">
      <c r="A87" s="342" t="s">
        <v>1399</v>
      </c>
      <c r="B87" s="342" t="s">
        <v>2</v>
      </c>
      <c r="C87" s="342" t="s">
        <v>1358</v>
      </c>
      <c r="D87" s="342" t="s">
        <v>1356</v>
      </c>
      <c r="E87" s="160" t="s">
        <v>124</v>
      </c>
      <c r="F87" s="89">
        <v>0.02</v>
      </c>
      <c r="G87" s="89">
        <v>0.02</v>
      </c>
      <c r="H87" s="89">
        <v>0.02</v>
      </c>
      <c r="I87" s="89">
        <v>0.02</v>
      </c>
      <c r="J87" s="89">
        <v>0.01</v>
      </c>
      <c r="K87" s="89">
        <v>0.01</v>
      </c>
      <c r="L87" s="344" t="s">
        <v>1151</v>
      </c>
    </row>
    <row r="88" spans="1:13" ht="13.9" customHeight="1" x14ac:dyDescent="0.2">
      <c r="A88" s="343"/>
      <c r="B88" s="343"/>
      <c r="C88" s="343"/>
      <c r="D88" s="343"/>
      <c r="E88" s="160" t="s">
        <v>125</v>
      </c>
      <c r="F88" s="160" t="s">
        <v>1400</v>
      </c>
      <c r="G88" s="160" t="s">
        <v>1400</v>
      </c>
      <c r="H88" s="160" t="s">
        <v>1400</v>
      </c>
      <c r="I88" s="160" t="s">
        <v>1400</v>
      </c>
      <c r="J88" s="160" t="s">
        <v>1401</v>
      </c>
      <c r="K88" s="160" t="s">
        <v>263</v>
      </c>
      <c r="L88" s="344"/>
    </row>
    <row r="89" spans="1:13" ht="12.75" customHeight="1" x14ac:dyDescent="0.2">
      <c r="A89" s="342" t="s">
        <v>976</v>
      </c>
      <c r="B89" s="342" t="s">
        <v>2</v>
      </c>
      <c r="C89" s="342" t="s">
        <v>10</v>
      </c>
      <c r="D89" s="342" t="s">
        <v>464</v>
      </c>
      <c r="E89" s="160" t="s">
        <v>124</v>
      </c>
      <c r="F89" s="160" t="s">
        <v>263</v>
      </c>
      <c r="G89" s="160" t="s">
        <v>263</v>
      </c>
      <c r="H89" s="160" t="s">
        <v>263</v>
      </c>
      <c r="I89" s="160" t="s">
        <v>263</v>
      </c>
      <c r="J89" s="160" t="s">
        <v>263</v>
      </c>
      <c r="K89" s="160">
        <v>46</v>
      </c>
      <c r="L89" s="344" t="s">
        <v>225</v>
      </c>
    </row>
    <row r="90" spans="1:13" x14ac:dyDescent="0.2">
      <c r="A90" s="343"/>
      <c r="B90" s="343"/>
      <c r="C90" s="343"/>
      <c r="D90" s="343"/>
      <c r="E90" s="160" t="s">
        <v>125</v>
      </c>
      <c r="F90" s="160" t="s">
        <v>263</v>
      </c>
      <c r="G90" s="160" t="s">
        <v>263</v>
      </c>
      <c r="H90" s="160" t="s">
        <v>263</v>
      </c>
      <c r="I90" s="160">
        <v>16</v>
      </c>
      <c r="J90" s="160">
        <v>19</v>
      </c>
      <c r="K90" s="160">
        <v>21</v>
      </c>
      <c r="L90" s="344"/>
    </row>
    <row r="91" spans="1:13" x14ac:dyDescent="0.2">
      <c r="A91" s="342" t="s">
        <v>414</v>
      </c>
      <c r="B91" s="342" t="s">
        <v>4</v>
      </c>
      <c r="C91" s="342" t="s">
        <v>10</v>
      </c>
      <c r="D91" s="342" t="s">
        <v>464</v>
      </c>
      <c r="E91" s="160" t="s">
        <v>124</v>
      </c>
      <c r="F91" s="160" t="s">
        <v>263</v>
      </c>
      <c r="G91" s="160" t="s">
        <v>263</v>
      </c>
      <c r="H91" s="160" t="s">
        <v>263</v>
      </c>
      <c r="I91" s="160" t="s">
        <v>263</v>
      </c>
      <c r="J91" s="160" t="s">
        <v>263</v>
      </c>
      <c r="K91" s="160">
        <v>1</v>
      </c>
      <c r="L91" s="344" t="s">
        <v>225</v>
      </c>
    </row>
    <row r="92" spans="1:13" ht="13.9" customHeight="1" x14ac:dyDescent="0.2">
      <c r="A92" s="343"/>
      <c r="B92" s="343"/>
      <c r="C92" s="343"/>
      <c r="D92" s="343"/>
      <c r="E92" s="160" t="s">
        <v>125</v>
      </c>
      <c r="F92" s="160" t="s">
        <v>263</v>
      </c>
      <c r="G92" s="160" t="s">
        <v>263</v>
      </c>
      <c r="H92" s="160" t="s">
        <v>263</v>
      </c>
      <c r="I92" s="160" t="s">
        <v>263</v>
      </c>
      <c r="J92" s="160" t="s">
        <v>263</v>
      </c>
      <c r="K92" s="160">
        <v>0</v>
      </c>
      <c r="L92" s="344"/>
    </row>
    <row r="93" spans="1:13" x14ac:dyDescent="0.2">
      <c r="A93" s="342" t="s">
        <v>415</v>
      </c>
      <c r="B93" s="342" t="s">
        <v>4</v>
      </c>
      <c r="C93" s="342" t="s">
        <v>10</v>
      </c>
      <c r="D93" s="342" t="s">
        <v>464</v>
      </c>
      <c r="E93" s="160" t="s">
        <v>124</v>
      </c>
      <c r="F93" s="160" t="s">
        <v>263</v>
      </c>
      <c r="G93" s="160" t="s">
        <v>263</v>
      </c>
      <c r="H93" s="160" t="s">
        <v>263</v>
      </c>
      <c r="I93" s="160" t="s">
        <v>263</v>
      </c>
      <c r="J93" s="160" t="s">
        <v>263</v>
      </c>
      <c r="K93" s="160">
        <v>1</v>
      </c>
      <c r="L93" s="344" t="s">
        <v>225</v>
      </c>
    </row>
    <row r="94" spans="1:13" x14ac:dyDescent="0.2">
      <c r="A94" s="343"/>
      <c r="B94" s="343"/>
      <c r="C94" s="343"/>
      <c r="D94" s="343"/>
      <c r="E94" s="160" t="s">
        <v>125</v>
      </c>
      <c r="F94" s="160" t="s">
        <v>263</v>
      </c>
      <c r="G94" s="160" t="s">
        <v>263</v>
      </c>
      <c r="H94" s="160" t="s">
        <v>263</v>
      </c>
      <c r="I94" s="160" t="s">
        <v>263</v>
      </c>
      <c r="J94" s="160" t="s">
        <v>263</v>
      </c>
      <c r="K94" s="160">
        <v>0</v>
      </c>
      <c r="L94" s="344"/>
    </row>
    <row r="95" spans="1:13" x14ac:dyDescent="0.2">
      <c r="A95" s="342" t="s">
        <v>977</v>
      </c>
      <c r="B95" s="342" t="s">
        <v>4</v>
      </c>
      <c r="C95" s="342" t="s">
        <v>10</v>
      </c>
      <c r="D95" s="342" t="s">
        <v>464</v>
      </c>
      <c r="E95" s="160" t="s">
        <v>124</v>
      </c>
      <c r="F95" s="160" t="s">
        <v>263</v>
      </c>
      <c r="G95" s="160" t="s">
        <v>263</v>
      </c>
      <c r="H95" s="160" t="s">
        <v>263</v>
      </c>
      <c r="I95" s="160" t="s">
        <v>263</v>
      </c>
      <c r="J95" s="160" t="s">
        <v>263</v>
      </c>
      <c r="K95" s="160">
        <v>1</v>
      </c>
      <c r="L95" s="344" t="s">
        <v>225</v>
      </c>
    </row>
    <row r="96" spans="1:13" ht="12" customHeight="1" x14ac:dyDescent="0.2">
      <c r="A96" s="343"/>
      <c r="B96" s="343"/>
      <c r="C96" s="343"/>
      <c r="D96" s="343"/>
      <c r="E96" s="160" t="s">
        <v>125</v>
      </c>
      <c r="F96" s="160" t="s">
        <v>263</v>
      </c>
      <c r="G96" s="160" t="s">
        <v>263</v>
      </c>
      <c r="H96" s="160" t="s">
        <v>263</v>
      </c>
      <c r="I96" s="160" t="s">
        <v>263</v>
      </c>
      <c r="J96" s="160" t="s">
        <v>263</v>
      </c>
      <c r="K96" s="160">
        <v>1</v>
      </c>
      <c r="L96" s="344"/>
    </row>
    <row r="97" spans="1:12" ht="12.75" customHeight="1" x14ac:dyDescent="0.2">
      <c r="A97" s="342" t="s">
        <v>978</v>
      </c>
      <c r="B97" s="342" t="s">
        <v>13</v>
      </c>
      <c r="C97" s="342" t="s">
        <v>10</v>
      </c>
      <c r="D97" s="342" t="s">
        <v>464</v>
      </c>
      <c r="E97" s="160" t="s">
        <v>124</v>
      </c>
      <c r="F97" s="160" t="s">
        <v>263</v>
      </c>
      <c r="G97" s="160" t="s">
        <v>263</v>
      </c>
      <c r="H97" s="160" t="s">
        <v>263</v>
      </c>
      <c r="I97" s="160" t="s">
        <v>263</v>
      </c>
      <c r="J97" s="160" t="s">
        <v>263</v>
      </c>
      <c r="K97" s="89">
        <v>0.75</v>
      </c>
      <c r="L97" s="344" t="s">
        <v>226</v>
      </c>
    </row>
    <row r="98" spans="1:12" x14ac:dyDescent="0.2">
      <c r="A98" s="343"/>
      <c r="B98" s="343"/>
      <c r="C98" s="343"/>
      <c r="D98" s="343"/>
      <c r="E98" s="160" t="s">
        <v>125</v>
      </c>
      <c r="F98" s="160" t="s">
        <v>263</v>
      </c>
      <c r="G98" s="160" t="s">
        <v>263</v>
      </c>
      <c r="H98" s="160" t="s">
        <v>263</v>
      </c>
      <c r="I98" s="160" t="s">
        <v>263</v>
      </c>
      <c r="J98" s="160" t="s">
        <v>263</v>
      </c>
      <c r="K98" s="160" t="s">
        <v>263</v>
      </c>
      <c r="L98" s="344"/>
    </row>
    <row r="99" spans="1:12" x14ac:dyDescent="0.2">
      <c r="A99" s="342" t="s">
        <v>416</v>
      </c>
      <c r="B99" s="342" t="s">
        <v>2</v>
      </c>
      <c r="C99" s="342" t="s">
        <v>10</v>
      </c>
      <c r="D99" s="342" t="s">
        <v>979</v>
      </c>
      <c r="E99" s="160" t="s">
        <v>124</v>
      </c>
      <c r="F99" s="160" t="s">
        <v>263</v>
      </c>
      <c r="G99" s="160" t="s">
        <v>263</v>
      </c>
      <c r="H99" s="160" t="s">
        <v>263</v>
      </c>
      <c r="I99" s="160" t="s">
        <v>263</v>
      </c>
      <c r="J99" s="160" t="s">
        <v>263</v>
      </c>
      <c r="K99" s="160">
        <v>78</v>
      </c>
      <c r="L99" s="344" t="s">
        <v>225</v>
      </c>
    </row>
    <row r="100" spans="1:12" x14ac:dyDescent="0.2">
      <c r="A100" s="343"/>
      <c r="B100" s="343"/>
      <c r="C100" s="343"/>
      <c r="D100" s="343"/>
      <c r="E100" s="160" t="s">
        <v>125</v>
      </c>
      <c r="F100" s="160">
        <v>71</v>
      </c>
      <c r="G100" s="160">
        <v>96</v>
      </c>
      <c r="H100" s="160">
        <v>78</v>
      </c>
      <c r="I100" s="160">
        <v>77</v>
      </c>
      <c r="J100" s="160">
        <v>102</v>
      </c>
      <c r="K100" s="160">
        <v>34</v>
      </c>
      <c r="L100" s="344"/>
    </row>
    <row r="101" spans="1:12" x14ac:dyDescent="0.2">
      <c r="A101" s="342" t="s">
        <v>980</v>
      </c>
      <c r="B101" s="342" t="s">
        <v>13</v>
      </c>
      <c r="C101" s="342" t="s">
        <v>267</v>
      </c>
      <c r="D101" s="342" t="s">
        <v>981</v>
      </c>
      <c r="E101" s="160" t="s">
        <v>124</v>
      </c>
      <c r="F101" s="160" t="s">
        <v>263</v>
      </c>
      <c r="G101" s="160" t="s">
        <v>263</v>
      </c>
      <c r="H101" s="160" t="s">
        <v>263</v>
      </c>
      <c r="I101" s="160" t="s">
        <v>263</v>
      </c>
      <c r="J101" s="160" t="s">
        <v>263</v>
      </c>
      <c r="K101" s="89">
        <v>0.75</v>
      </c>
      <c r="L101" s="344" t="s">
        <v>225</v>
      </c>
    </row>
    <row r="102" spans="1:12" x14ac:dyDescent="0.2">
      <c r="A102" s="343"/>
      <c r="B102" s="343"/>
      <c r="C102" s="343"/>
      <c r="D102" s="343"/>
      <c r="E102" s="160" t="s">
        <v>125</v>
      </c>
      <c r="F102" s="160" t="s">
        <v>263</v>
      </c>
      <c r="G102" s="160" t="s">
        <v>263</v>
      </c>
      <c r="H102" s="89">
        <v>0.68</v>
      </c>
      <c r="I102" s="89">
        <v>0.69</v>
      </c>
      <c r="J102" s="89">
        <v>0.69</v>
      </c>
      <c r="K102" s="89">
        <v>0.7</v>
      </c>
      <c r="L102" s="344"/>
    </row>
    <row r="103" spans="1:12" x14ac:dyDescent="0.2">
      <c r="A103" s="342" t="s">
        <v>982</v>
      </c>
      <c r="B103" s="342" t="s">
        <v>13</v>
      </c>
      <c r="C103" s="342" t="s">
        <v>10</v>
      </c>
      <c r="D103" s="342" t="s">
        <v>979</v>
      </c>
      <c r="E103" s="160" t="s">
        <v>124</v>
      </c>
      <c r="F103" s="160" t="s">
        <v>263</v>
      </c>
      <c r="G103" s="160" t="s">
        <v>263</v>
      </c>
      <c r="H103" s="160" t="s">
        <v>263</v>
      </c>
      <c r="I103" s="160" t="s">
        <v>263</v>
      </c>
      <c r="J103" s="160" t="s">
        <v>263</v>
      </c>
      <c r="K103" s="89">
        <v>0.1</v>
      </c>
      <c r="L103" s="344" t="s">
        <v>225</v>
      </c>
    </row>
    <row r="104" spans="1:12" x14ac:dyDescent="0.2">
      <c r="A104" s="343"/>
      <c r="B104" s="343"/>
      <c r="C104" s="343"/>
      <c r="D104" s="343"/>
      <c r="E104" s="160" t="s">
        <v>125</v>
      </c>
      <c r="F104" s="160" t="s">
        <v>263</v>
      </c>
      <c r="G104" s="160" t="s">
        <v>263</v>
      </c>
      <c r="H104" s="90">
        <v>0.14549999999999999</v>
      </c>
      <c r="I104" s="90">
        <v>0.1115</v>
      </c>
      <c r="J104" s="90">
        <v>0.1065</v>
      </c>
      <c r="K104" s="90">
        <v>0.1019</v>
      </c>
      <c r="L104" s="344"/>
    </row>
    <row r="105" spans="1:12" x14ac:dyDescent="0.2">
      <c r="A105" s="342" t="s">
        <v>417</v>
      </c>
      <c r="B105" s="342" t="s">
        <v>3</v>
      </c>
      <c r="C105" s="342" t="s">
        <v>10</v>
      </c>
      <c r="D105" s="342" t="s">
        <v>464</v>
      </c>
      <c r="E105" s="160" t="s">
        <v>124</v>
      </c>
      <c r="F105" s="160" t="s">
        <v>263</v>
      </c>
      <c r="G105" s="160" t="s">
        <v>263</v>
      </c>
      <c r="H105" s="160" t="s">
        <v>263</v>
      </c>
      <c r="I105" s="160" t="s">
        <v>263</v>
      </c>
      <c r="J105" s="160" t="s">
        <v>263</v>
      </c>
      <c r="K105" s="160" t="s">
        <v>263</v>
      </c>
      <c r="L105" s="344" t="s">
        <v>1365</v>
      </c>
    </row>
    <row r="106" spans="1:12" x14ac:dyDescent="0.2">
      <c r="A106" s="343"/>
      <c r="B106" s="343"/>
      <c r="C106" s="343"/>
      <c r="D106" s="343"/>
      <c r="E106" s="160" t="s">
        <v>125</v>
      </c>
      <c r="F106" s="160" t="s">
        <v>263</v>
      </c>
      <c r="G106" s="160" t="s">
        <v>263</v>
      </c>
      <c r="H106" s="160" t="s">
        <v>263</v>
      </c>
      <c r="I106" s="160" t="s">
        <v>263</v>
      </c>
      <c r="J106" s="160" t="s">
        <v>263</v>
      </c>
      <c r="K106" s="160" t="s">
        <v>263</v>
      </c>
      <c r="L106" s="344"/>
    </row>
    <row r="107" spans="1:12" x14ac:dyDescent="0.2">
      <c r="A107" s="342" t="s">
        <v>418</v>
      </c>
      <c r="B107" s="342" t="s">
        <v>3</v>
      </c>
      <c r="C107" s="342" t="s">
        <v>10</v>
      </c>
      <c r="D107" s="342" t="s">
        <v>464</v>
      </c>
      <c r="E107" s="160" t="s">
        <v>124</v>
      </c>
      <c r="F107" s="160" t="s">
        <v>263</v>
      </c>
      <c r="G107" s="160" t="s">
        <v>263</v>
      </c>
      <c r="H107" s="160" t="s">
        <v>263</v>
      </c>
      <c r="I107" s="160" t="s">
        <v>263</v>
      </c>
      <c r="J107" s="160" t="s">
        <v>263</v>
      </c>
      <c r="K107" s="89">
        <v>0.15</v>
      </c>
      <c r="L107" s="322" t="s">
        <v>225</v>
      </c>
    </row>
    <row r="108" spans="1:12" x14ac:dyDescent="0.2">
      <c r="A108" s="343"/>
      <c r="B108" s="343"/>
      <c r="C108" s="343"/>
      <c r="D108" s="343"/>
      <c r="E108" s="160" t="s">
        <v>125</v>
      </c>
      <c r="F108" s="89">
        <v>0</v>
      </c>
      <c r="G108" s="89">
        <v>0</v>
      </c>
      <c r="H108" s="89">
        <v>0</v>
      </c>
      <c r="I108" s="89">
        <v>0</v>
      </c>
      <c r="J108" s="89">
        <v>0</v>
      </c>
      <c r="K108" s="89">
        <v>0</v>
      </c>
      <c r="L108" s="322"/>
    </row>
    <row r="109" spans="1:12" x14ac:dyDescent="0.2">
      <c r="A109" s="342" t="s">
        <v>419</v>
      </c>
      <c r="B109" s="342" t="s">
        <v>3</v>
      </c>
      <c r="C109" s="342" t="s">
        <v>10</v>
      </c>
      <c r="D109" s="342" t="s">
        <v>981</v>
      </c>
      <c r="E109" s="160" t="s">
        <v>124</v>
      </c>
      <c r="F109" s="160" t="s">
        <v>263</v>
      </c>
      <c r="G109" s="160" t="s">
        <v>263</v>
      </c>
      <c r="H109" s="160" t="s">
        <v>263</v>
      </c>
      <c r="I109" s="160" t="s">
        <v>263</v>
      </c>
      <c r="J109" s="160" t="s">
        <v>263</v>
      </c>
      <c r="K109" s="160">
        <v>12</v>
      </c>
      <c r="L109" s="322" t="s">
        <v>225</v>
      </c>
    </row>
    <row r="110" spans="1:12" x14ac:dyDescent="0.2">
      <c r="A110" s="343"/>
      <c r="B110" s="343"/>
      <c r="C110" s="343"/>
      <c r="D110" s="343"/>
      <c r="E110" s="160" t="s">
        <v>125</v>
      </c>
      <c r="F110" s="160" t="s">
        <v>263</v>
      </c>
      <c r="G110" s="160" t="s">
        <v>263</v>
      </c>
      <c r="H110" s="160">
        <v>9.4</v>
      </c>
      <c r="I110" s="160">
        <v>12.2</v>
      </c>
      <c r="J110" s="160">
        <v>17.5</v>
      </c>
      <c r="K110" s="160">
        <v>16</v>
      </c>
      <c r="L110" s="322"/>
    </row>
    <row r="111" spans="1:12" x14ac:dyDescent="0.2">
      <c r="A111" s="342" t="s">
        <v>420</v>
      </c>
      <c r="B111" s="342" t="s">
        <v>2</v>
      </c>
      <c r="C111" s="342" t="s">
        <v>10</v>
      </c>
      <c r="D111" s="342" t="s">
        <v>464</v>
      </c>
      <c r="E111" s="160" t="s">
        <v>124</v>
      </c>
      <c r="F111" s="160" t="s">
        <v>263</v>
      </c>
      <c r="G111" s="160" t="s">
        <v>263</v>
      </c>
      <c r="H111" s="160" t="s">
        <v>263</v>
      </c>
      <c r="I111" s="160" t="s">
        <v>263</v>
      </c>
      <c r="J111" s="160" t="s">
        <v>263</v>
      </c>
      <c r="K111" s="91">
        <v>31000</v>
      </c>
      <c r="L111" s="322" t="s">
        <v>225</v>
      </c>
    </row>
    <row r="112" spans="1:12" x14ac:dyDescent="0.2">
      <c r="A112" s="343"/>
      <c r="B112" s="343"/>
      <c r="C112" s="343"/>
      <c r="D112" s="343"/>
      <c r="E112" s="160" t="s">
        <v>125</v>
      </c>
      <c r="F112" s="160" t="s">
        <v>263</v>
      </c>
      <c r="G112" s="91">
        <v>30941</v>
      </c>
      <c r="H112" s="91">
        <v>30765</v>
      </c>
      <c r="I112" s="91">
        <v>32311</v>
      </c>
      <c r="J112" s="91">
        <v>30563</v>
      </c>
      <c r="K112" s="91">
        <v>19604</v>
      </c>
      <c r="L112" s="322"/>
    </row>
    <row r="113" spans="1:12" x14ac:dyDescent="0.2">
      <c r="A113" s="342" t="s">
        <v>421</v>
      </c>
      <c r="B113" s="342" t="s">
        <v>4</v>
      </c>
      <c r="C113" s="342" t="s">
        <v>10</v>
      </c>
      <c r="D113" s="342" t="s">
        <v>464</v>
      </c>
      <c r="E113" s="160" t="s">
        <v>124</v>
      </c>
      <c r="F113" s="160" t="s">
        <v>263</v>
      </c>
      <c r="G113" s="160" t="s">
        <v>263</v>
      </c>
      <c r="H113" s="160" t="s">
        <v>263</v>
      </c>
      <c r="I113" s="160" t="s">
        <v>263</v>
      </c>
      <c r="J113" s="160" t="s">
        <v>263</v>
      </c>
      <c r="K113" s="160">
        <v>1</v>
      </c>
      <c r="L113" s="322" t="s">
        <v>225</v>
      </c>
    </row>
    <row r="114" spans="1:12" x14ac:dyDescent="0.2">
      <c r="A114" s="343"/>
      <c r="B114" s="343"/>
      <c r="C114" s="343"/>
      <c r="D114" s="343"/>
      <c r="E114" s="160" t="s">
        <v>125</v>
      </c>
      <c r="F114" s="160" t="s">
        <v>263</v>
      </c>
      <c r="G114" s="160" t="s">
        <v>263</v>
      </c>
      <c r="H114" s="160" t="s">
        <v>263</v>
      </c>
      <c r="I114" s="160" t="s">
        <v>263</v>
      </c>
      <c r="J114" s="160" t="s">
        <v>263</v>
      </c>
      <c r="K114" s="160">
        <v>1</v>
      </c>
      <c r="L114" s="322"/>
    </row>
    <row r="115" spans="1:12" x14ac:dyDescent="0.2">
      <c r="A115" s="342" t="s">
        <v>422</v>
      </c>
      <c r="B115" s="342" t="s">
        <v>4</v>
      </c>
      <c r="C115" s="342" t="s">
        <v>10</v>
      </c>
      <c r="D115" s="342" t="s">
        <v>464</v>
      </c>
      <c r="E115" s="160" t="s">
        <v>124</v>
      </c>
      <c r="F115" s="160" t="s">
        <v>263</v>
      </c>
      <c r="G115" s="160" t="s">
        <v>263</v>
      </c>
      <c r="H115" s="160" t="s">
        <v>263</v>
      </c>
      <c r="I115" s="160" t="s">
        <v>263</v>
      </c>
      <c r="J115" s="160" t="s">
        <v>263</v>
      </c>
      <c r="K115" s="160">
        <v>1</v>
      </c>
      <c r="L115" s="322" t="s">
        <v>225</v>
      </c>
    </row>
    <row r="116" spans="1:12" x14ac:dyDescent="0.2">
      <c r="A116" s="343"/>
      <c r="B116" s="343"/>
      <c r="C116" s="343"/>
      <c r="D116" s="343"/>
      <c r="E116" s="160" t="s">
        <v>125</v>
      </c>
      <c r="F116" s="160" t="s">
        <v>263</v>
      </c>
      <c r="G116" s="160" t="s">
        <v>263</v>
      </c>
      <c r="H116" s="160" t="s">
        <v>263</v>
      </c>
      <c r="I116" s="160" t="s">
        <v>263</v>
      </c>
      <c r="J116" s="160" t="s">
        <v>263</v>
      </c>
      <c r="K116" s="160">
        <v>0</v>
      </c>
      <c r="L116" s="322"/>
    </row>
    <row r="117" spans="1:12" x14ac:dyDescent="0.2">
      <c r="A117" s="342" t="s">
        <v>983</v>
      </c>
      <c r="B117" s="342" t="s">
        <v>2</v>
      </c>
      <c r="C117" s="342" t="s">
        <v>10</v>
      </c>
      <c r="D117" s="342" t="s">
        <v>464</v>
      </c>
      <c r="E117" s="160" t="s">
        <v>124</v>
      </c>
      <c r="F117" s="160" t="s">
        <v>263</v>
      </c>
      <c r="G117" s="160" t="s">
        <v>263</v>
      </c>
      <c r="H117" s="160" t="s">
        <v>263</v>
      </c>
      <c r="I117" s="160" t="s">
        <v>263</v>
      </c>
      <c r="J117" s="160" t="s">
        <v>263</v>
      </c>
      <c r="K117" s="89">
        <v>0.45</v>
      </c>
      <c r="L117" s="322" t="s">
        <v>225</v>
      </c>
    </row>
    <row r="118" spans="1:12" x14ac:dyDescent="0.2">
      <c r="A118" s="343"/>
      <c r="B118" s="343"/>
      <c r="C118" s="343"/>
      <c r="D118" s="343"/>
      <c r="E118" s="160" t="s">
        <v>125</v>
      </c>
      <c r="F118" s="160" t="s">
        <v>263</v>
      </c>
      <c r="G118" s="160" t="s">
        <v>263</v>
      </c>
      <c r="H118" s="160" t="s">
        <v>263</v>
      </c>
      <c r="I118" s="160" t="s">
        <v>263</v>
      </c>
      <c r="J118" s="160" t="s">
        <v>263</v>
      </c>
      <c r="K118" s="89">
        <v>1</v>
      </c>
      <c r="L118" s="322"/>
    </row>
    <row r="119" spans="1:12" x14ac:dyDescent="0.2">
      <c r="A119" s="342" t="s">
        <v>423</v>
      </c>
      <c r="B119" s="342" t="s">
        <v>2</v>
      </c>
      <c r="C119" s="342" t="s">
        <v>10</v>
      </c>
      <c r="D119" s="342" t="s">
        <v>464</v>
      </c>
      <c r="E119" s="160" t="s">
        <v>124</v>
      </c>
      <c r="F119" s="160" t="s">
        <v>263</v>
      </c>
      <c r="G119" s="160" t="s">
        <v>263</v>
      </c>
      <c r="H119" s="160" t="s">
        <v>263</v>
      </c>
      <c r="I119" s="160" t="s">
        <v>263</v>
      </c>
      <c r="J119" s="160">
        <v>120</v>
      </c>
      <c r="K119" s="160">
        <v>120</v>
      </c>
      <c r="L119" s="322" t="s">
        <v>225</v>
      </c>
    </row>
    <row r="120" spans="1:12" x14ac:dyDescent="0.2">
      <c r="A120" s="343"/>
      <c r="B120" s="343"/>
      <c r="C120" s="343"/>
      <c r="D120" s="343"/>
      <c r="E120" s="160" t="s">
        <v>125</v>
      </c>
      <c r="F120" s="160" t="s">
        <v>263</v>
      </c>
      <c r="G120" s="160" t="s">
        <v>263</v>
      </c>
      <c r="H120" s="160" t="s">
        <v>263</v>
      </c>
      <c r="I120" s="160" t="s">
        <v>263</v>
      </c>
      <c r="J120" s="160">
        <v>88</v>
      </c>
      <c r="K120" s="160">
        <v>108</v>
      </c>
      <c r="L120" s="322"/>
    </row>
    <row r="121" spans="1:12" x14ac:dyDescent="0.2">
      <c r="A121" s="344" t="s">
        <v>984</v>
      </c>
      <c r="B121" s="344" t="s">
        <v>4</v>
      </c>
      <c r="C121" s="344" t="s">
        <v>10</v>
      </c>
      <c r="D121" s="344" t="s">
        <v>464</v>
      </c>
      <c r="E121" s="160" t="s">
        <v>124</v>
      </c>
      <c r="F121" s="160" t="s">
        <v>263</v>
      </c>
      <c r="G121" s="160" t="s">
        <v>263</v>
      </c>
      <c r="H121" s="160" t="s">
        <v>263</v>
      </c>
      <c r="I121" s="160" t="s">
        <v>263</v>
      </c>
      <c r="J121" s="160" t="s">
        <v>263</v>
      </c>
      <c r="K121" s="160">
        <v>46</v>
      </c>
      <c r="L121" s="345" t="s">
        <v>225</v>
      </c>
    </row>
    <row r="122" spans="1:12" x14ac:dyDescent="0.2">
      <c r="A122" s="344"/>
      <c r="B122" s="344"/>
      <c r="C122" s="344"/>
      <c r="D122" s="344"/>
      <c r="E122" s="160" t="s">
        <v>125</v>
      </c>
      <c r="F122" s="160" t="s">
        <v>263</v>
      </c>
      <c r="G122" s="160" t="s">
        <v>263</v>
      </c>
      <c r="H122" s="160" t="s">
        <v>263</v>
      </c>
      <c r="I122" s="160" t="s">
        <v>263</v>
      </c>
      <c r="J122" s="160" t="s">
        <v>263</v>
      </c>
      <c r="K122" s="160">
        <v>22</v>
      </c>
      <c r="L122" s="337"/>
    </row>
    <row r="123" spans="1:12" x14ac:dyDescent="0.2">
      <c r="A123" s="344" t="s">
        <v>985</v>
      </c>
      <c r="B123" s="344" t="s">
        <v>2</v>
      </c>
      <c r="C123" s="344" t="s">
        <v>10</v>
      </c>
      <c r="D123" s="344" t="s">
        <v>464</v>
      </c>
      <c r="E123" s="160" t="s">
        <v>124</v>
      </c>
      <c r="F123" s="160">
        <v>18</v>
      </c>
      <c r="G123" s="160">
        <v>18</v>
      </c>
      <c r="H123" s="160">
        <v>18</v>
      </c>
      <c r="I123" s="160">
        <v>18</v>
      </c>
      <c r="J123" s="160">
        <v>18</v>
      </c>
      <c r="K123" s="160">
        <v>19</v>
      </c>
      <c r="L123" s="345" t="s">
        <v>225</v>
      </c>
    </row>
    <row r="124" spans="1:12" x14ac:dyDescent="0.2">
      <c r="A124" s="344"/>
      <c r="B124" s="344"/>
      <c r="C124" s="344"/>
      <c r="D124" s="344"/>
      <c r="E124" s="160" t="s">
        <v>125</v>
      </c>
      <c r="F124" s="160">
        <v>18</v>
      </c>
      <c r="G124" s="160">
        <v>18</v>
      </c>
      <c r="H124" s="160">
        <v>18</v>
      </c>
      <c r="I124" s="160">
        <v>18</v>
      </c>
      <c r="J124" s="160">
        <v>18</v>
      </c>
      <c r="K124" s="160">
        <v>19</v>
      </c>
      <c r="L124" s="337"/>
    </row>
    <row r="125" spans="1:12" x14ac:dyDescent="0.2">
      <c r="A125" s="344" t="s">
        <v>986</v>
      </c>
      <c r="B125" s="344" t="s">
        <v>2</v>
      </c>
      <c r="C125" s="344" t="s">
        <v>10</v>
      </c>
      <c r="D125" s="344" t="s">
        <v>464</v>
      </c>
      <c r="E125" s="160" t="s">
        <v>124</v>
      </c>
      <c r="F125" s="160" t="s">
        <v>263</v>
      </c>
      <c r="G125" s="160" t="s">
        <v>263</v>
      </c>
      <c r="H125" s="160" t="s">
        <v>263</v>
      </c>
      <c r="I125" s="160" t="s">
        <v>263</v>
      </c>
      <c r="J125" s="89">
        <v>0.95</v>
      </c>
      <c r="K125" s="89">
        <v>0.95</v>
      </c>
      <c r="L125" s="345" t="s">
        <v>225</v>
      </c>
    </row>
    <row r="126" spans="1:12" x14ac:dyDescent="0.2">
      <c r="A126" s="344"/>
      <c r="B126" s="344"/>
      <c r="C126" s="344"/>
      <c r="D126" s="344"/>
      <c r="E126" s="160" t="s">
        <v>125</v>
      </c>
      <c r="F126" s="89">
        <v>0.91</v>
      </c>
      <c r="G126" s="89">
        <v>0.87</v>
      </c>
      <c r="H126" s="89">
        <v>0.92</v>
      </c>
      <c r="I126" s="89">
        <v>0.9</v>
      </c>
      <c r="J126" s="89">
        <v>0.88</v>
      </c>
      <c r="K126" s="89">
        <v>0.87</v>
      </c>
      <c r="L126" s="337"/>
    </row>
    <row r="127" spans="1:12" x14ac:dyDescent="0.2">
      <c r="A127" s="344" t="s">
        <v>1729</v>
      </c>
      <c r="B127" s="344" t="s">
        <v>2</v>
      </c>
      <c r="C127" s="344" t="s">
        <v>10</v>
      </c>
      <c r="D127" s="344" t="s">
        <v>464</v>
      </c>
      <c r="E127" s="173" t="s">
        <v>124</v>
      </c>
      <c r="F127" s="173" t="s">
        <v>263</v>
      </c>
      <c r="G127" s="173" t="s">
        <v>263</v>
      </c>
      <c r="H127" s="173" t="s">
        <v>263</v>
      </c>
      <c r="I127" s="173" t="s">
        <v>263</v>
      </c>
      <c r="J127" s="173" t="s">
        <v>263</v>
      </c>
      <c r="K127" s="173">
        <v>2000</v>
      </c>
      <c r="L127" s="345" t="s">
        <v>225</v>
      </c>
    </row>
    <row r="128" spans="1:12" x14ac:dyDescent="0.2">
      <c r="A128" s="344"/>
      <c r="B128" s="344"/>
      <c r="C128" s="344"/>
      <c r="D128" s="344"/>
      <c r="E128" s="173" t="s">
        <v>125</v>
      </c>
      <c r="F128" s="173" t="s">
        <v>263</v>
      </c>
      <c r="G128" s="173">
        <v>1973</v>
      </c>
      <c r="H128" s="173">
        <v>2259</v>
      </c>
      <c r="I128" s="173">
        <v>2132</v>
      </c>
      <c r="J128" s="173">
        <v>1851</v>
      </c>
      <c r="K128" s="173">
        <v>1076</v>
      </c>
      <c r="L128" s="337"/>
    </row>
    <row r="129" spans="1:12" x14ac:dyDescent="0.2">
      <c r="A129" s="342" t="s">
        <v>987</v>
      </c>
      <c r="B129" s="342" t="s">
        <v>4</v>
      </c>
      <c r="C129" s="342" t="s">
        <v>10</v>
      </c>
      <c r="D129" s="342" t="s">
        <v>464</v>
      </c>
      <c r="E129" s="160" t="s">
        <v>124</v>
      </c>
      <c r="F129" s="160" t="s">
        <v>263</v>
      </c>
      <c r="G129" s="160" t="s">
        <v>263</v>
      </c>
      <c r="H129" s="160" t="s">
        <v>263</v>
      </c>
      <c r="I129" s="160" t="s">
        <v>263</v>
      </c>
      <c r="J129" s="160" t="s">
        <v>263</v>
      </c>
      <c r="K129" s="160">
        <v>1</v>
      </c>
      <c r="L129" s="345" t="s">
        <v>225</v>
      </c>
    </row>
    <row r="130" spans="1:12" x14ac:dyDescent="0.2">
      <c r="A130" s="343"/>
      <c r="B130" s="343"/>
      <c r="C130" s="343"/>
      <c r="D130" s="343"/>
      <c r="E130" s="160" t="s">
        <v>125</v>
      </c>
      <c r="F130" s="160" t="s">
        <v>263</v>
      </c>
      <c r="G130" s="160" t="s">
        <v>263</v>
      </c>
      <c r="H130" s="160" t="s">
        <v>263</v>
      </c>
      <c r="I130" s="160" t="s">
        <v>263</v>
      </c>
      <c r="J130" s="160" t="s">
        <v>263</v>
      </c>
      <c r="K130" s="160">
        <v>0</v>
      </c>
      <c r="L130" s="337"/>
    </row>
    <row r="131" spans="1:12" x14ac:dyDescent="0.2">
      <c r="A131" s="342" t="s">
        <v>988</v>
      </c>
      <c r="B131" s="342" t="s">
        <v>4</v>
      </c>
      <c r="C131" s="342" t="s">
        <v>10</v>
      </c>
      <c r="D131" s="342" t="s">
        <v>464</v>
      </c>
      <c r="E131" s="160" t="s">
        <v>124</v>
      </c>
      <c r="F131" s="160" t="s">
        <v>263</v>
      </c>
      <c r="G131" s="160" t="s">
        <v>263</v>
      </c>
      <c r="H131" s="160" t="s">
        <v>263</v>
      </c>
      <c r="I131" s="160" t="s">
        <v>263</v>
      </c>
      <c r="J131" s="160" t="s">
        <v>263</v>
      </c>
      <c r="K131" s="160">
        <v>12</v>
      </c>
      <c r="L131" s="345" t="s">
        <v>225</v>
      </c>
    </row>
    <row r="132" spans="1:12" x14ac:dyDescent="0.2">
      <c r="A132" s="343"/>
      <c r="B132" s="343"/>
      <c r="C132" s="343"/>
      <c r="D132" s="343"/>
      <c r="E132" s="160" t="s">
        <v>125</v>
      </c>
      <c r="F132" s="160" t="s">
        <v>263</v>
      </c>
      <c r="G132" s="160" t="s">
        <v>263</v>
      </c>
      <c r="H132" s="160" t="s">
        <v>263</v>
      </c>
      <c r="I132" s="160" t="s">
        <v>263</v>
      </c>
      <c r="J132" s="160" t="s">
        <v>263</v>
      </c>
      <c r="K132" s="160">
        <v>0</v>
      </c>
      <c r="L132" s="337"/>
    </row>
    <row r="133" spans="1:12" x14ac:dyDescent="0.2">
      <c r="A133" s="344" t="s">
        <v>989</v>
      </c>
      <c r="B133" s="344" t="s">
        <v>4</v>
      </c>
      <c r="C133" s="344" t="s">
        <v>10</v>
      </c>
      <c r="D133" s="344" t="s">
        <v>464</v>
      </c>
      <c r="E133" s="160" t="s">
        <v>124</v>
      </c>
      <c r="F133" s="160" t="s">
        <v>263</v>
      </c>
      <c r="G133" s="160" t="s">
        <v>263</v>
      </c>
      <c r="H133" s="160" t="s">
        <v>263</v>
      </c>
      <c r="I133" s="160" t="s">
        <v>263</v>
      </c>
      <c r="J133" s="160" t="s">
        <v>263</v>
      </c>
      <c r="K133" s="160">
        <v>24</v>
      </c>
      <c r="L133" s="345" t="s">
        <v>225</v>
      </c>
    </row>
    <row r="134" spans="1:12" x14ac:dyDescent="0.2">
      <c r="A134" s="344"/>
      <c r="B134" s="344"/>
      <c r="C134" s="344"/>
      <c r="D134" s="344"/>
      <c r="E134" s="160" t="s">
        <v>125</v>
      </c>
      <c r="F134" s="160" t="s">
        <v>263</v>
      </c>
      <c r="G134" s="160" t="s">
        <v>263</v>
      </c>
      <c r="H134" s="160" t="s">
        <v>263</v>
      </c>
      <c r="I134" s="160" t="s">
        <v>263</v>
      </c>
      <c r="J134" s="160" t="s">
        <v>263</v>
      </c>
      <c r="K134" s="160">
        <v>12</v>
      </c>
      <c r="L134" s="337"/>
    </row>
    <row r="135" spans="1:12" x14ac:dyDescent="0.2">
      <c r="A135" s="344" t="s">
        <v>990</v>
      </c>
      <c r="B135" s="322" t="s">
        <v>2</v>
      </c>
      <c r="C135" s="345" t="s">
        <v>10</v>
      </c>
      <c r="D135" s="322" t="s">
        <v>464</v>
      </c>
      <c r="E135" s="159" t="s">
        <v>124</v>
      </c>
      <c r="F135" s="159" t="s">
        <v>263</v>
      </c>
      <c r="G135" s="159">
        <v>17</v>
      </c>
      <c r="H135" s="159">
        <v>12</v>
      </c>
      <c r="I135" s="159">
        <v>17</v>
      </c>
      <c r="J135" s="159">
        <v>8</v>
      </c>
      <c r="K135" s="159">
        <v>17</v>
      </c>
      <c r="L135" s="345" t="s">
        <v>225</v>
      </c>
    </row>
    <row r="136" spans="1:12" x14ac:dyDescent="0.2">
      <c r="A136" s="344"/>
      <c r="B136" s="322"/>
      <c r="C136" s="337"/>
      <c r="D136" s="322"/>
      <c r="E136" s="159" t="s">
        <v>125</v>
      </c>
      <c r="F136" s="159" t="s">
        <v>263</v>
      </c>
      <c r="G136" s="159">
        <v>17</v>
      </c>
      <c r="H136" s="159">
        <v>12</v>
      </c>
      <c r="I136" s="159">
        <v>17</v>
      </c>
      <c r="J136" s="159">
        <v>8</v>
      </c>
      <c r="K136" s="159">
        <v>13</v>
      </c>
      <c r="L136" s="337"/>
    </row>
    <row r="137" spans="1:12" x14ac:dyDescent="0.2">
      <c r="A137" s="342" t="s">
        <v>424</v>
      </c>
      <c r="B137" s="342" t="s">
        <v>1118</v>
      </c>
      <c r="C137" s="342" t="s">
        <v>10</v>
      </c>
      <c r="D137" s="342" t="s">
        <v>464</v>
      </c>
      <c r="E137" s="160" t="s">
        <v>124</v>
      </c>
      <c r="F137" s="160" t="s">
        <v>263</v>
      </c>
      <c r="G137" s="160" t="s">
        <v>263</v>
      </c>
      <c r="H137" s="160" t="s">
        <v>263</v>
      </c>
      <c r="I137" s="160" t="s">
        <v>263</v>
      </c>
      <c r="J137" s="160" t="s">
        <v>263</v>
      </c>
      <c r="K137" s="160" t="s">
        <v>263</v>
      </c>
      <c r="L137" s="344" t="s">
        <v>225</v>
      </c>
    </row>
    <row r="138" spans="1:12" x14ac:dyDescent="0.2">
      <c r="A138" s="343"/>
      <c r="B138" s="343"/>
      <c r="C138" s="343"/>
      <c r="D138" s="343"/>
      <c r="E138" s="160" t="s">
        <v>125</v>
      </c>
      <c r="F138" s="160">
        <v>7957</v>
      </c>
      <c r="G138" s="160">
        <v>9508</v>
      </c>
      <c r="H138" s="160">
        <v>10034</v>
      </c>
      <c r="I138" s="160">
        <v>10496</v>
      </c>
      <c r="J138" s="160">
        <v>11379</v>
      </c>
      <c r="K138" s="160">
        <v>8043</v>
      </c>
      <c r="L138" s="344"/>
    </row>
    <row r="139" spans="1:12" x14ac:dyDescent="0.2">
      <c r="A139" s="342" t="s">
        <v>1119</v>
      </c>
      <c r="B139" s="342" t="s">
        <v>1118</v>
      </c>
      <c r="C139" s="342" t="s">
        <v>1120</v>
      </c>
      <c r="D139" s="342" t="s">
        <v>464</v>
      </c>
      <c r="E139" s="160" t="s">
        <v>124</v>
      </c>
      <c r="F139" s="160" t="s">
        <v>263</v>
      </c>
      <c r="G139" s="160" t="s">
        <v>263</v>
      </c>
      <c r="H139" s="160">
        <v>212</v>
      </c>
      <c r="I139" s="160">
        <v>137</v>
      </c>
      <c r="J139" s="160">
        <v>69</v>
      </c>
      <c r="K139" s="160">
        <v>52</v>
      </c>
      <c r="L139" s="344" t="s">
        <v>225</v>
      </c>
    </row>
    <row r="140" spans="1:12" x14ac:dyDescent="0.2">
      <c r="A140" s="343"/>
      <c r="B140" s="343"/>
      <c r="C140" s="343"/>
      <c r="D140" s="343"/>
      <c r="E140" s="160" t="s">
        <v>125</v>
      </c>
      <c r="F140" s="160" t="s">
        <v>263</v>
      </c>
      <c r="G140" s="160" t="s">
        <v>263</v>
      </c>
      <c r="H140" s="160">
        <v>75</v>
      </c>
      <c r="I140" s="160">
        <v>68</v>
      </c>
      <c r="J140" s="160">
        <v>17</v>
      </c>
      <c r="K140" s="160">
        <v>0</v>
      </c>
      <c r="L140" s="344"/>
    </row>
    <row r="141" spans="1:12" x14ac:dyDescent="0.2">
      <c r="A141" s="342" t="s">
        <v>425</v>
      </c>
      <c r="B141" s="342" t="s">
        <v>1121</v>
      </c>
      <c r="C141" s="342" t="s">
        <v>1120</v>
      </c>
      <c r="D141" s="342" t="s">
        <v>464</v>
      </c>
      <c r="E141" s="160" t="s">
        <v>124</v>
      </c>
      <c r="F141" s="160" t="s">
        <v>263</v>
      </c>
      <c r="G141" s="160" t="s">
        <v>263</v>
      </c>
      <c r="H141" s="160" t="s">
        <v>263</v>
      </c>
      <c r="I141" s="160" t="s">
        <v>263</v>
      </c>
      <c r="J141" s="160">
        <v>4</v>
      </c>
      <c r="K141" s="160">
        <v>8</v>
      </c>
      <c r="L141" s="344" t="s">
        <v>225</v>
      </c>
    </row>
    <row r="142" spans="1:12" x14ac:dyDescent="0.2">
      <c r="A142" s="343"/>
      <c r="B142" s="343"/>
      <c r="C142" s="343"/>
      <c r="D142" s="343"/>
      <c r="E142" s="160" t="s">
        <v>125</v>
      </c>
      <c r="F142" s="160" t="s">
        <v>263</v>
      </c>
      <c r="G142" s="160" t="s">
        <v>263</v>
      </c>
      <c r="H142" s="160" t="s">
        <v>263</v>
      </c>
      <c r="I142" s="160">
        <v>0</v>
      </c>
      <c r="J142" s="160">
        <v>3</v>
      </c>
      <c r="K142" s="160" t="s">
        <v>1122</v>
      </c>
      <c r="L142" s="344"/>
    </row>
    <row r="143" spans="1:12" x14ac:dyDescent="0.2">
      <c r="A143" s="342" t="s">
        <v>426</v>
      </c>
      <c r="B143" s="342" t="s">
        <v>4</v>
      </c>
      <c r="C143" s="342" t="s">
        <v>10</v>
      </c>
      <c r="D143" s="342" t="s">
        <v>464</v>
      </c>
      <c r="E143" s="160" t="s">
        <v>124</v>
      </c>
      <c r="F143" s="160" t="s">
        <v>263</v>
      </c>
      <c r="G143" s="160" t="s">
        <v>263</v>
      </c>
      <c r="H143" s="160" t="s">
        <v>263</v>
      </c>
      <c r="I143" s="160" t="s">
        <v>263</v>
      </c>
      <c r="J143" s="160" t="s">
        <v>263</v>
      </c>
      <c r="K143" s="160">
        <v>1</v>
      </c>
      <c r="L143" s="344" t="s">
        <v>225</v>
      </c>
    </row>
    <row r="144" spans="1:12" x14ac:dyDescent="0.2">
      <c r="A144" s="343"/>
      <c r="B144" s="343"/>
      <c r="C144" s="343"/>
      <c r="D144" s="343"/>
      <c r="E144" s="160" t="s">
        <v>125</v>
      </c>
      <c r="F144" s="160" t="s">
        <v>263</v>
      </c>
      <c r="G144" s="160" t="s">
        <v>263</v>
      </c>
      <c r="H144" s="160" t="s">
        <v>263</v>
      </c>
      <c r="I144" s="160" t="s">
        <v>263</v>
      </c>
      <c r="J144" s="160" t="s">
        <v>263</v>
      </c>
      <c r="K144" s="160">
        <v>0</v>
      </c>
      <c r="L144" s="344"/>
    </row>
    <row r="145" spans="1:12" x14ac:dyDescent="0.2">
      <c r="A145" s="342" t="s">
        <v>427</v>
      </c>
      <c r="B145" s="342" t="s">
        <v>4</v>
      </c>
      <c r="C145" s="342" t="s">
        <v>10</v>
      </c>
      <c r="D145" s="342" t="s">
        <v>464</v>
      </c>
      <c r="E145" s="160" t="s">
        <v>124</v>
      </c>
      <c r="F145" s="160" t="s">
        <v>263</v>
      </c>
      <c r="G145" s="160" t="s">
        <v>263</v>
      </c>
      <c r="H145" s="160" t="s">
        <v>263</v>
      </c>
      <c r="I145" s="160" t="s">
        <v>263</v>
      </c>
      <c r="J145" s="160" t="s">
        <v>263</v>
      </c>
      <c r="K145" s="160">
        <v>1</v>
      </c>
      <c r="L145" s="344" t="s">
        <v>225</v>
      </c>
    </row>
    <row r="146" spans="1:12" x14ac:dyDescent="0.2">
      <c r="A146" s="343"/>
      <c r="B146" s="343"/>
      <c r="C146" s="343"/>
      <c r="D146" s="343"/>
      <c r="E146" s="160" t="s">
        <v>125</v>
      </c>
      <c r="F146" s="160" t="s">
        <v>263</v>
      </c>
      <c r="G146" s="160" t="s">
        <v>263</v>
      </c>
      <c r="H146" s="160" t="s">
        <v>263</v>
      </c>
      <c r="I146" s="160" t="s">
        <v>263</v>
      </c>
      <c r="J146" s="160" t="s">
        <v>263</v>
      </c>
      <c r="K146" s="160">
        <v>0</v>
      </c>
      <c r="L146" s="344"/>
    </row>
    <row r="147" spans="1:12" x14ac:dyDescent="0.2">
      <c r="A147" s="342" t="s">
        <v>428</v>
      </c>
      <c r="B147" s="342" t="s">
        <v>1123</v>
      </c>
      <c r="C147" s="342"/>
      <c r="D147" s="342" t="s">
        <v>464</v>
      </c>
      <c r="E147" s="160" t="s">
        <v>124</v>
      </c>
      <c r="F147" s="160" t="s">
        <v>263</v>
      </c>
      <c r="G147" s="160" t="s">
        <v>263</v>
      </c>
      <c r="H147" s="160" t="s">
        <v>263</v>
      </c>
      <c r="I147" s="160" t="s">
        <v>263</v>
      </c>
      <c r="J147" s="160" t="s">
        <v>263</v>
      </c>
      <c r="K147" s="160" t="s">
        <v>263</v>
      </c>
      <c r="L147" s="344" t="s">
        <v>225</v>
      </c>
    </row>
    <row r="148" spans="1:12" x14ac:dyDescent="0.2">
      <c r="A148" s="343"/>
      <c r="B148" s="343"/>
      <c r="C148" s="343"/>
      <c r="D148" s="343"/>
      <c r="E148" s="160" t="s">
        <v>125</v>
      </c>
      <c r="F148" s="160" t="s">
        <v>263</v>
      </c>
      <c r="G148" s="160" t="s">
        <v>263</v>
      </c>
      <c r="H148" s="160" t="s">
        <v>263</v>
      </c>
      <c r="I148" s="160" t="s">
        <v>263</v>
      </c>
      <c r="J148" s="160" t="s">
        <v>263</v>
      </c>
      <c r="K148" s="160">
        <v>46</v>
      </c>
      <c r="L148" s="344"/>
    </row>
    <row r="149" spans="1:12" x14ac:dyDescent="0.2">
      <c r="A149" s="342" t="s">
        <v>429</v>
      </c>
      <c r="B149" s="346" t="s">
        <v>2</v>
      </c>
      <c r="C149" s="346" t="s">
        <v>10</v>
      </c>
      <c r="D149" s="348" t="s">
        <v>1154</v>
      </c>
      <c r="E149" s="160" t="s">
        <v>124</v>
      </c>
      <c r="F149" s="93" t="s">
        <v>263</v>
      </c>
      <c r="G149" s="93" t="s">
        <v>263</v>
      </c>
      <c r="H149" s="94" t="s">
        <v>263</v>
      </c>
      <c r="I149" s="94" t="s">
        <v>263</v>
      </c>
      <c r="J149" s="165">
        <v>0.05</v>
      </c>
      <c r="K149" s="165">
        <v>0.05</v>
      </c>
      <c r="L149" s="346" t="s">
        <v>1151</v>
      </c>
    </row>
    <row r="150" spans="1:12" x14ac:dyDescent="0.2">
      <c r="A150" s="343"/>
      <c r="B150" s="347"/>
      <c r="C150" s="347"/>
      <c r="D150" s="349"/>
      <c r="E150" s="160" t="s">
        <v>125</v>
      </c>
      <c r="F150" s="93" t="s">
        <v>263</v>
      </c>
      <c r="G150" s="93" t="s">
        <v>263</v>
      </c>
      <c r="H150" s="94" t="s">
        <v>263</v>
      </c>
      <c r="I150" s="94" t="s">
        <v>263</v>
      </c>
      <c r="J150" s="165">
        <v>0.5</v>
      </c>
      <c r="K150" s="166" t="s">
        <v>263</v>
      </c>
      <c r="L150" s="347"/>
    </row>
    <row r="151" spans="1:12" ht="12.75" customHeight="1" x14ac:dyDescent="0.2">
      <c r="A151" s="342" t="s">
        <v>1635</v>
      </c>
      <c r="B151" s="346" t="s">
        <v>2</v>
      </c>
      <c r="C151" s="350" t="s">
        <v>10</v>
      </c>
      <c r="D151" s="352" t="s">
        <v>464</v>
      </c>
      <c r="E151" s="160" t="s">
        <v>124</v>
      </c>
      <c r="F151" s="93" t="s">
        <v>263</v>
      </c>
      <c r="G151" s="93" t="s">
        <v>263</v>
      </c>
      <c r="H151" s="94" t="s">
        <v>263</v>
      </c>
      <c r="I151" s="94" t="s">
        <v>263</v>
      </c>
      <c r="J151" s="166">
        <v>15</v>
      </c>
      <c r="K151" s="166">
        <v>10</v>
      </c>
      <c r="L151" s="348" t="s">
        <v>1151</v>
      </c>
    </row>
    <row r="152" spans="1:12" x14ac:dyDescent="0.2">
      <c r="A152" s="343"/>
      <c r="B152" s="347"/>
      <c r="C152" s="351"/>
      <c r="D152" s="353"/>
      <c r="E152" s="160" t="s">
        <v>125</v>
      </c>
      <c r="F152" s="93" t="s">
        <v>263</v>
      </c>
      <c r="G152" s="93" t="s">
        <v>263</v>
      </c>
      <c r="H152" s="94" t="s">
        <v>263</v>
      </c>
      <c r="I152" s="94" t="s">
        <v>263</v>
      </c>
      <c r="J152" s="166">
        <v>3</v>
      </c>
      <c r="K152" s="166">
        <v>1</v>
      </c>
      <c r="L152" s="349"/>
    </row>
    <row r="153" spans="1:12" x14ac:dyDescent="0.2">
      <c r="A153" s="342" t="s">
        <v>1155</v>
      </c>
      <c r="B153" s="346" t="s">
        <v>4</v>
      </c>
      <c r="C153" s="346" t="s">
        <v>10</v>
      </c>
      <c r="D153" s="346" t="s">
        <v>464</v>
      </c>
      <c r="E153" s="160" t="s">
        <v>124</v>
      </c>
      <c r="F153" s="93" t="s">
        <v>263</v>
      </c>
      <c r="G153" s="93" t="s">
        <v>263</v>
      </c>
      <c r="H153" s="94" t="s">
        <v>263</v>
      </c>
      <c r="I153" s="94" t="s">
        <v>263</v>
      </c>
      <c r="J153" s="166">
        <v>2</v>
      </c>
      <c r="K153" s="166">
        <v>2</v>
      </c>
      <c r="L153" s="348" t="s">
        <v>1151</v>
      </c>
    </row>
    <row r="154" spans="1:12" ht="27.75" customHeight="1" x14ac:dyDescent="0.2">
      <c r="A154" s="343"/>
      <c r="B154" s="347"/>
      <c r="C154" s="347"/>
      <c r="D154" s="347"/>
      <c r="E154" s="160" t="s">
        <v>125</v>
      </c>
      <c r="F154" s="93" t="s">
        <v>263</v>
      </c>
      <c r="G154" s="93" t="s">
        <v>263</v>
      </c>
      <c r="H154" s="94" t="s">
        <v>263</v>
      </c>
      <c r="I154" s="94" t="s">
        <v>263</v>
      </c>
      <c r="J154" s="166">
        <v>0</v>
      </c>
      <c r="K154" s="166">
        <v>2</v>
      </c>
      <c r="L154" s="349"/>
    </row>
    <row r="155" spans="1:12" x14ac:dyDescent="0.2">
      <c r="A155" s="342" t="s">
        <v>1156</v>
      </c>
      <c r="B155" s="346" t="s">
        <v>4</v>
      </c>
      <c r="C155" s="346" t="s">
        <v>10</v>
      </c>
      <c r="D155" s="346" t="s">
        <v>464</v>
      </c>
      <c r="E155" s="160" t="s">
        <v>124</v>
      </c>
      <c r="F155" s="93" t="s">
        <v>263</v>
      </c>
      <c r="G155" s="93" t="s">
        <v>263</v>
      </c>
      <c r="H155" s="93" t="s">
        <v>263</v>
      </c>
      <c r="I155" s="93" t="s">
        <v>263</v>
      </c>
      <c r="J155" s="166">
        <v>4</v>
      </c>
      <c r="K155" s="166">
        <v>4</v>
      </c>
      <c r="L155" s="348" t="s">
        <v>1151</v>
      </c>
    </row>
    <row r="156" spans="1:12" ht="18" customHeight="1" x14ac:dyDescent="0.2">
      <c r="A156" s="343"/>
      <c r="B156" s="347"/>
      <c r="C156" s="347"/>
      <c r="D156" s="347"/>
      <c r="E156" s="160" t="s">
        <v>125</v>
      </c>
      <c r="F156" s="93" t="s">
        <v>263</v>
      </c>
      <c r="G156" s="93" t="s">
        <v>263</v>
      </c>
      <c r="H156" s="94" t="s">
        <v>263</v>
      </c>
      <c r="I156" s="94" t="s">
        <v>263</v>
      </c>
      <c r="J156" s="166">
        <v>4</v>
      </c>
      <c r="K156" s="166">
        <v>4</v>
      </c>
      <c r="L156" s="349"/>
    </row>
    <row r="157" spans="1:12" x14ac:dyDescent="0.2">
      <c r="A157" s="342" t="s">
        <v>1157</v>
      </c>
      <c r="B157" s="346" t="s">
        <v>4</v>
      </c>
      <c r="C157" s="346" t="s">
        <v>10</v>
      </c>
      <c r="D157" s="346" t="s">
        <v>464</v>
      </c>
      <c r="E157" s="160" t="s">
        <v>124</v>
      </c>
      <c r="F157" s="93" t="s">
        <v>263</v>
      </c>
      <c r="G157" s="93" t="s">
        <v>263</v>
      </c>
      <c r="H157" s="94" t="s">
        <v>263</v>
      </c>
      <c r="I157" s="94" t="s">
        <v>263</v>
      </c>
      <c r="J157" s="165">
        <v>1</v>
      </c>
      <c r="K157" s="165">
        <v>0.5</v>
      </c>
      <c r="L157" s="322" t="s">
        <v>1410</v>
      </c>
    </row>
    <row r="158" spans="1:12" ht="16.5" customHeight="1" x14ac:dyDescent="0.2">
      <c r="A158" s="343"/>
      <c r="B158" s="347"/>
      <c r="C158" s="347"/>
      <c r="D158" s="347"/>
      <c r="E158" s="160" t="s">
        <v>125</v>
      </c>
      <c r="F158" s="93" t="s">
        <v>263</v>
      </c>
      <c r="G158" s="93" t="s">
        <v>263</v>
      </c>
      <c r="H158" s="94" t="s">
        <v>263</v>
      </c>
      <c r="I158" s="94" t="s">
        <v>263</v>
      </c>
      <c r="J158" s="165">
        <v>0.5</v>
      </c>
      <c r="K158" s="165">
        <v>0.6</v>
      </c>
      <c r="L158" s="322"/>
    </row>
    <row r="159" spans="1:12" ht="12.75" customHeight="1" x14ac:dyDescent="0.2">
      <c r="A159" s="342" t="s">
        <v>1158</v>
      </c>
      <c r="B159" s="346" t="s">
        <v>4</v>
      </c>
      <c r="C159" s="346" t="s">
        <v>10</v>
      </c>
      <c r="D159" s="346" t="s">
        <v>464</v>
      </c>
      <c r="E159" s="160" t="s">
        <v>124</v>
      </c>
      <c r="F159" s="93" t="s">
        <v>263</v>
      </c>
      <c r="G159" s="93" t="s">
        <v>263</v>
      </c>
      <c r="H159" s="94" t="s">
        <v>263</v>
      </c>
      <c r="I159" s="166" t="s">
        <v>263</v>
      </c>
      <c r="J159" s="165">
        <v>1</v>
      </c>
      <c r="K159" s="165">
        <v>0.5</v>
      </c>
      <c r="L159" s="322" t="s">
        <v>1410</v>
      </c>
    </row>
    <row r="160" spans="1:12" x14ac:dyDescent="0.2">
      <c r="A160" s="343"/>
      <c r="B160" s="347"/>
      <c r="C160" s="347"/>
      <c r="D160" s="347"/>
      <c r="E160" s="160" t="s">
        <v>125</v>
      </c>
      <c r="F160" s="93" t="s">
        <v>263</v>
      </c>
      <c r="G160" s="93" t="s">
        <v>263</v>
      </c>
      <c r="H160" s="94" t="s">
        <v>263</v>
      </c>
      <c r="I160" s="166" t="s">
        <v>263</v>
      </c>
      <c r="J160" s="165">
        <v>0.5</v>
      </c>
      <c r="K160" s="165">
        <v>0.5</v>
      </c>
      <c r="L160" s="322"/>
    </row>
    <row r="161" spans="1:12" ht="12.75" customHeight="1" x14ac:dyDescent="0.2">
      <c r="A161" s="342" t="s">
        <v>430</v>
      </c>
      <c r="B161" s="346" t="s">
        <v>13</v>
      </c>
      <c r="C161" s="346" t="s">
        <v>10</v>
      </c>
      <c r="D161" s="346" t="s">
        <v>464</v>
      </c>
      <c r="E161" s="160" t="s">
        <v>124</v>
      </c>
      <c r="F161" s="93" t="s">
        <v>263</v>
      </c>
      <c r="G161" s="167" t="s">
        <v>263</v>
      </c>
      <c r="H161" s="165" t="s">
        <v>1148</v>
      </c>
      <c r="I161" s="165" t="s">
        <v>1149</v>
      </c>
      <c r="J161" s="165" t="s">
        <v>1150</v>
      </c>
      <c r="K161" s="165">
        <v>1</v>
      </c>
      <c r="L161" s="346" t="s">
        <v>1151</v>
      </c>
    </row>
    <row r="162" spans="1:12" ht="15.6" customHeight="1" x14ac:dyDescent="0.2">
      <c r="A162" s="343"/>
      <c r="B162" s="347"/>
      <c r="C162" s="347"/>
      <c r="D162" s="347"/>
      <c r="E162" s="160" t="s">
        <v>125</v>
      </c>
      <c r="F162" s="93" t="s">
        <v>263</v>
      </c>
      <c r="G162" s="93" t="s">
        <v>263</v>
      </c>
      <c r="H162" s="166" t="s">
        <v>1152</v>
      </c>
      <c r="I162" s="166" t="s">
        <v>1153</v>
      </c>
      <c r="J162" s="166" t="s">
        <v>263</v>
      </c>
      <c r="K162" s="166" t="s">
        <v>263</v>
      </c>
      <c r="L162" s="347"/>
    </row>
    <row r="163" spans="1:12" ht="12.75" customHeight="1" x14ac:dyDescent="0.2">
      <c r="A163" s="342" t="s">
        <v>992</v>
      </c>
      <c r="B163" s="342" t="s">
        <v>3</v>
      </c>
      <c r="C163" s="322" t="s">
        <v>10</v>
      </c>
      <c r="D163" s="342" t="s">
        <v>464</v>
      </c>
      <c r="E163" s="160" t="s">
        <v>124</v>
      </c>
      <c r="F163" s="160">
        <v>1303</v>
      </c>
      <c r="G163" s="160">
        <v>943</v>
      </c>
      <c r="H163" s="160">
        <v>982</v>
      </c>
      <c r="I163" s="160">
        <v>1181</v>
      </c>
      <c r="J163" s="160">
        <v>1207</v>
      </c>
      <c r="K163" s="160">
        <v>323</v>
      </c>
      <c r="L163" s="346" t="s">
        <v>1151</v>
      </c>
    </row>
    <row r="164" spans="1:12" ht="13.9" customHeight="1" x14ac:dyDescent="0.2">
      <c r="A164" s="343"/>
      <c r="B164" s="343"/>
      <c r="C164" s="322"/>
      <c r="D164" s="343"/>
      <c r="E164" s="160" t="s">
        <v>125</v>
      </c>
      <c r="F164" s="160">
        <v>805</v>
      </c>
      <c r="G164" s="160">
        <v>1084</v>
      </c>
      <c r="H164" s="160">
        <v>1193</v>
      </c>
      <c r="I164" s="160">
        <v>943</v>
      </c>
      <c r="J164" s="160">
        <v>1361</v>
      </c>
      <c r="K164" s="160">
        <v>290</v>
      </c>
      <c r="L164" s="347"/>
    </row>
    <row r="165" spans="1:12" ht="12.75" customHeight="1" x14ac:dyDescent="0.2">
      <c r="A165" s="342" t="s">
        <v>991</v>
      </c>
      <c r="B165" s="342" t="s">
        <v>3</v>
      </c>
      <c r="C165" s="322" t="s">
        <v>10</v>
      </c>
      <c r="D165" s="342" t="s">
        <v>464</v>
      </c>
      <c r="E165" s="160" t="s">
        <v>124</v>
      </c>
      <c r="F165" s="160">
        <v>200</v>
      </c>
      <c r="G165" s="160">
        <v>200</v>
      </c>
      <c r="H165" s="160">
        <v>200</v>
      </c>
      <c r="I165" s="160">
        <v>200</v>
      </c>
      <c r="J165" s="160">
        <v>200</v>
      </c>
      <c r="K165" s="160">
        <v>200</v>
      </c>
      <c r="L165" s="346" t="s">
        <v>1151</v>
      </c>
    </row>
    <row r="166" spans="1:12" x14ac:dyDescent="0.2">
      <c r="A166" s="343"/>
      <c r="B166" s="343"/>
      <c r="C166" s="322"/>
      <c r="D166" s="343"/>
      <c r="E166" s="160" t="s">
        <v>125</v>
      </c>
      <c r="F166" s="160">
        <v>211</v>
      </c>
      <c r="G166" s="160">
        <v>204</v>
      </c>
      <c r="H166" s="160">
        <v>220</v>
      </c>
      <c r="I166" s="160">
        <v>228</v>
      </c>
      <c r="J166" s="160">
        <v>231</v>
      </c>
      <c r="K166" s="160">
        <v>254</v>
      </c>
      <c r="L166" s="347"/>
    </row>
    <row r="167" spans="1:12" ht="12.75" customHeight="1" x14ac:dyDescent="0.2">
      <c r="A167" s="342" t="s">
        <v>1124</v>
      </c>
      <c r="B167" s="342" t="s">
        <v>1118</v>
      </c>
      <c r="C167" s="342" t="s">
        <v>1120</v>
      </c>
      <c r="D167" s="342" t="s">
        <v>464</v>
      </c>
      <c r="E167" s="160" t="s">
        <v>124</v>
      </c>
      <c r="F167" s="160" t="s">
        <v>263</v>
      </c>
      <c r="G167" s="160" t="s">
        <v>263</v>
      </c>
      <c r="H167" s="160" t="s">
        <v>263</v>
      </c>
      <c r="I167" s="160" t="s">
        <v>263</v>
      </c>
      <c r="J167" s="160" t="s">
        <v>263</v>
      </c>
      <c r="K167" s="160" t="s">
        <v>263</v>
      </c>
      <c r="L167" s="344" t="s">
        <v>225</v>
      </c>
    </row>
    <row r="168" spans="1:12" ht="13.9" customHeight="1" x14ac:dyDescent="0.2">
      <c r="A168" s="343"/>
      <c r="B168" s="343"/>
      <c r="C168" s="343"/>
      <c r="D168" s="343"/>
      <c r="E168" s="160" t="s">
        <v>125</v>
      </c>
      <c r="F168" s="160">
        <v>39265</v>
      </c>
      <c r="G168" s="160">
        <v>41107</v>
      </c>
      <c r="H168" s="160">
        <v>43009</v>
      </c>
      <c r="I168" s="160">
        <v>41669</v>
      </c>
      <c r="J168" s="160">
        <v>45913</v>
      </c>
      <c r="K168" s="160">
        <v>34283</v>
      </c>
      <c r="L168" s="344"/>
    </row>
    <row r="169" spans="1:12" x14ac:dyDescent="0.2">
      <c r="A169" s="342" t="s">
        <v>1125</v>
      </c>
      <c r="B169" s="342" t="s">
        <v>1123</v>
      </c>
      <c r="C169" s="342" t="s">
        <v>1120</v>
      </c>
      <c r="D169" s="342" t="s">
        <v>464</v>
      </c>
      <c r="E169" s="160" t="s">
        <v>124</v>
      </c>
      <c r="F169" s="160" t="s">
        <v>263</v>
      </c>
      <c r="G169" s="160" t="s">
        <v>263</v>
      </c>
      <c r="H169" s="160" t="s">
        <v>263</v>
      </c>
      <c r="I169" s="160" t="s">
        <v>263</v>
      </c>
      <c r="J169" s="160" t="s">
        <v>263</v>
      </c>
      <c r="K169" s="160" t="s">
        <v>263</v>
      </c>
      <c r="L169" s="344" t="s">
        <v>225</v>
      </c>
    </row>
    <row r="170" spans="1:12" ht="13.9" customHeight="1" x14ac:dyDescent="0.2">
      <c r="A170" s="343"/>
      <c r="B170" s="343"/>
      <c r="C170" s="343"/>
      <c r="D170" s="343"/>
      <c r="E170" s="160" t="s">
        <v>125</v>
      </c>
      <c r="F170" s="160">
        <v>33071</v>
      </c>
      <c r="G170" s="160">
        <v>35575</v>
      </c>
      <c r="H170" s="160">
        <v>38001</v>
      </c>
      <c r="I170" s="160">
        <v>40336</v>
      </c>
      <c r="J170" s="160">
        <v>44177</v>
      </c>
      <c r="K170" s="160">
        <v>32467</v>
      </c>
      <c r="L170" s="344"/>
    </row>
    <row r="171" spans="1:12" x14ac:dyDescent="0.2">
      <c r="A171" s="342" t="s">
        <v>1126</v>
      </c>
      <c r="B171" s="342" t="s">
        <v>1118</v>
      </c>
      <c r="C171" s="342" t="s">
        <v>1120</v>
      </c>
      <c r="D171" s="342" t="s">
        <v>464</v>
      </c>
      <c r="E171" s="160" t="s">
        <v>124</v>
      </c>
      <c r="F171" s="160" t="s">
        <v>263</v>
      </c>
      <c r="G171" s="160" t="s">
        <v>263</v>
      </c>
      <c r="H171" s="160" t="s">
        <v>263</v>
      </c>
      <c r="I171" s="160" t="s">
        <v>263</v>
      </c>
      <c r="J171" s="160" t="s">
        <v>263</v>
      </c>
      <c r="K171" s="160">
        <v>148</v>
      </c>
      <c r="L171" s="344" t="s">
        <v>226</v>
      </c>
    </row>
    <row r="172" spans="1:12" ht="13.9" customHeight="1" x14ac:dyDescent="0.2">
      <c r="A172" s="343"/>
      <c r="B172" s="343"/>
      <c r="C172" s="343"/>
      <c r="D172" s="343"/>
      <c r="E172" s="160" t="s">
        <v>125</v>
      </c>
      <c r="F172" s="160" t="s">
        <v>263</v>
      </c>
      <c r="G172" s="160" t="s">
        <v>263</v>
      </c>
      <c r="H172" s="160" t="s">
        <v>263</v>
      </c>
      <c r="I172" s="160" t="s">
        <v>263</v>
      </c>
      <c r="J172" s="160" t="s">
        <v>263</v>
      </c>
      <c r="K172" s="160" t="s">
        <v>263</v>
      </c>
      <c r="L172" s="344"/>
    </row>
    <row r="173" spans="1:12" x14ac:dyDescent="0.2">
      <c r="A173" s="342" t="s">
        <v>1127</v>
      </c>
      <c r="B173" s="342" t="s">
        <v>1121</v>
      </c>
      <c r="C173" s="342" t="s">
        <v>1120</v>
      </c>
      <c r="D173" s="342" t="s">
        <v>464</v>
      </c>
      <c r="E173" s="160" t="s">
        <v>124</v>
      </c>
      <c r="F173" s="160" t="s">
        <v>263</v>
      </c>
      <c r="G173" s="160" t="s">
        <v>263</v>
      </c>
      <c r="H173" s="160" t="s">
        <v>263</v>
      </c>
      <c r="I173" s="160" t="s">
        <v>263</v>
      </c>
      <c r="J173" s="160" t="s">
        <v>263</v>
      </c>
      <c r="K173" s="160" t="s">
        <v>263</v>
      </c>
      <c r="L173" s="344" t="s">
        <v>225</v>
      </c>
    </row>
    <row r="174" spans="1:12" x14ac:dyDescent="0.2">
      <c r="A174" s="343"/>
      <c r="B174" s="343"/>
      <c r="C174" s="343"/>
      <c r="D174" s="343"/>
      <c r="E174" s="160" t="s">
        <v>125</v>
      </c>
      <c r="F174" s="160" t="s">
        <v>263</v>
      </c>
      <c r="G174" s="160">
        <v>166211</v>
      </c>
      <c r="H174" s="160">
        <v>158916</v>
      </c>
      <c r="I174" s="160">
        <v>182689</v>
      </c>
      <c r="J174" s="160">
        <v>166468</v>
      </c>
      <c r="K174" s="160">
        <v>89400</v>
      </c>
      <c r="L174" s="344"/>
    </row>
    <row r="175" spans="1:12" x14ac:dyDescent="0.2">
      <c r="A175" s="342" t="s">
        <v>1128</v>
      </c>
      <c r="B175" s="342" t="s">
        <v>1123</v>
      </c>
      <c r="C175" s="342" t="s">
        <v>1120</v>
      </c>
      <c r="D175" s="342" t="s">
        <v>464</v>
      </c>
      <c r="E175" s="160" t="s">
        <v>124</v>
      </c>
      <c r="F175" s="160">
        <v>84</v>
      </c>
      <c r="G175" s="160">
        <v>84</v>
      </c>
      <c r="H175" s="160">
        <v>84</v>
      </c>
      <c r="I175" s="160">
        <v>84</v>
      </c>
      <c r="J175" s="160">
        <v>84</v>
      </c>
      <c r="K175" s="160">
        <v>84</v>
      </c>
      <c r="L175" s="344" t="s">
        <v>225</v>
      </c>
    </row>
    <row r="176" spans="1:12" x14ac:dyDescent="0.2">
      <c r="A176" s="343"/>
      <c r="B176" s="343"/>
      <c r="C176" s="343"/>
      <c r="D176" s="343"/>
      <c r="E176" s="160" t="s">
        <v>125</v>
      </c>
      <c r="F176" s="160">
        <v>225</v>
      </c>
      <c r="G176" s="160">
        <v>219</v>
      </c>
      <c r="H176" s="160">
        <v>218</v>
      </c>
      <c r="I176" s="160">
        <v>205</v>
      </c>
      <c r="J176" s="160">
        <v>207</v>
      </c>
      <c r="K176" s="160">
        <v>147</v>
      </c>
      <c r="L176" s="344"/>
    </row>
    <row r="177" spans="1:12" x14ac:dyDescent="0.2">
      <c r="A177" s="342" t="s">
        <v>1129</v>
      </c>
      <c r="B177" s="342" t="s">
        <v>1130</v>
      </c>
      <c r="C177" s="342" t="s">
        <v>1120</v>
      </c>
      <c r="D177" s="342" t="s">
        <v>1131</v>
      </c>
      <c r="E177" s="160" t="s">
        <v>124</v>
      </c>
      <c r="F177" s="168" t="s">
        <v>1132</v>
      </c>
      <c r="G177" s="168" t="s">
        <v>1132</v>
      </c>
      <c r="H177" s="168" t="s">
        <v>1132</v>
      </c>
      <c r="I177" s="168" t="s">
        <v>1132</v>
      </c>
      <c r="J177" s="168" t="s">
        <v>1132</v>
      </c>
      <c r="K177" s="168" t="s">
        <v>1132</v>
      </c>
      <c r="L177" s="344" t="s">
        <v>225</v>
      </c>
    </row>
    <row r="178" spans="1:12" x14ac:dyDescent="0.2">
      <c r="A178" s="343"/>
      <c r="B178" s="343"/>
      <c r="C178" s="343"/>
      <c r="D178" s="343"/>
      <c r="E178" s="160" t="s">
        <v>125</v>
      </c>
      <c r="F178" s="160">
        <v>8</v>
      </c>
      <c r="G178" s="160">
        <v>8</v>
      </c>
      <c r="H178" s="160">
        <v>8</v>
      </c>
      <c r="I178" s="160">
        <v>7</v>
      </c>
      <c r="J178" s="160">
        <v>8</v>
      </c>
      <c r="K178" s="160">
        <v>8</v>
      </c>
      <c r="L178" s="344"/>
    </row>
    <row r="179" spans="1:12" x14ac:dyDescent="0.2">
      <c r="A179" s="342" t="s">
        <v>1133</v>
      </c>
      <c r="B179" s="342" t="s">
        <v>1118</v>
      </c>
      <c r="C179" s="342" t="s">
        <v>1120</v>
      </c>
      <c r="D179" s="342" t="s">
        <v>464</v>
      </c>
      <c r="E179" s="160" t="s">
        <v>124</v>
      </c>
      <c r="F179" s="160" t="s">
        <v>263</v>
      </c>
      <c r="G179" s="160" t="s">
        <v>263</v>
      </c>
      <c r="H179" s="160" t="s">
        <v>263</v>
      </c>
      <c r="I179" s="160" t="s">
        <v>263</v>
      </c>
      <c r="J179" s="160" t="s">
        <v>263</v>
      </c>
      <c r="K179" s="160" t="s">
        <v>263</v>
      </c>
      <c r="L179" s="344" t="s">
        <v>225</v>
      </c>
    </row>
    <row r="180" spans="1:12" x14ac:dyDescent="0.2">
      <c r="A180" s="343"/>
      <c r="B180" s="343"/>
      <c r="C180" s="343"/>
      <c r="D180" s="343"/>
      <c r="E180" s="160" t="s">
        <v>125</v>
      </c>
      <c r="F180" s="160">
        <v>10111</v>
      </c>
      <c r="G180" s="160">
        <v>12393</v>
      </c>
      <c r="H180" s="160">
        <v>14616</v>
      </c>
      <c r="I180" s="160">
        <v>17043</v>
      </c>
      <c r="J180" s="160">
        <v>19391</v>
      </c>
      <c r="K180" s="160">
        <v>21726</v>
      </c>
      <c r="L180" s="344"/>
    </row>
    <row r="181" spans="1:12" x14ac:dyDescent="0.2">
      <c r="A181" s="342" t="s">
        <v>1134</v>
      </c>
      <c r="B181" s="342" t="s">
        <v>1118</v>
      </c>
      <c r="C181" s="342" t="s">
        <v>1120</v>
      </c>
      <c r="D181" s="342" t="s">
        <v>464</v>
      </c>
      <c r="E181" s="160" t="s">
        <v>124</v>
      </c>
      <c r="F181" s="160" t="s">
        <v>263</v>
      </c>
      <c r="G181" s="160" t="s">
        <v>263</v>
      </c>
      <c r="H181" s="160" t="s">
        <v>263</v>
      </c>
      <c r="I181" s="160" t="s">
        <v>263</v>
      </c>
      <c r="J181" s="160" t="s">
        <v>263</v>
      </c>
      <c r="K181" s="160" t="s">
        <v>263</v>
      </c>
      <c r="L181" s="344" t="s">
        <v>225</v>
      </c>
    </row>
    <row r="182" spans="1:12" x14ac:dyDescent="0.2">
      <c r="A182" s="343"/>
      <c r="B182" s="343"/>
      <c r="C182" s="343"/>
      <c r="D182" s="343"/>
      <c r="E182" s="160" t="s">
        <v>125</v>
      </c>
      <c r="F182" s="160">
        <v>4900</v>
      </c>
      <c r="G182" s="160">
        <v>4939</v>
      </c>
      <c r="H182" s="160">
        <v>5183</v>
      </c>
      <c r="I182" s="160">
        <v>6758</v>
      </c>
      <c r="J182" s="160">
        <v>6689</v>
      </c>
      <c r="K182" s="160">
        <v>5031</v>
      </c>
      <c r="L182" s="344"/>
    </row>
    <row r="183" spans="1:12" x14ac:dyDescent="0.2">
      <c r="A183" s="342" t="s">
        <v>1135</v>
      </c>
      <c r="B183" s="342" t="s">
        <v>1123</v>
      </c>
      <c r="C183" s="342" t="s">
        <v>1120</v>
      </c>
      <c r="D183" s="342" t="s">
        <v>464</v>
      </c>
      <c r="E183" s="160" t="s">
        <v>124</v>
      </c>
      <c r="F183" s="160" t="s">
        <v>263</v>
      </c>
      <c r="G183" s="160" t="s">
        <v>263</v>
      </c>
      <c r="H183" s="160" t="s">
        <v>263</v>
      </c>
      <c r="I183" s="160" t="s">
        <v>263</v>
      </c>
      <c r="J183" s="160" t="s">
        <v>263</v>
      </c>
      <c r="K183" s="160" t="s">
        <v>263</v>
      </c>
      <c r="L183" s="344" t="s">
        <v>225</v>
      </c>
    </row>
    <row r="184" spans="1:12" x14ac:dyDescent="0.2">
      <c r="A184" s="343"/>
      <c r="B184" s="343"/>
      <c r="C184" s="343"/>
      <c r="D184" s="343"/>
      <c r="E184" s="160" t="s">
        <v>125</v>
      </c>
      <c r="F184" s="160">
        <v>3906</v>
      </c>
      <c r="G184" s="160">
        <v>3796</v>
      </c>
      <c r="H184" s="160">
        <v>3692</v>
      </c>
      <c r="I184" s="160">
        <v>4877</v>
      </c>
      <c r="J184" s="160">
        <v>4623</v>
      </c>
      <c r="K184" s="160">
        <v>3535</v>
      </c>
      <c r="L184" s="344"/>
    </row>
    <row r="185" spans="1:12" x14ac:dyDescent="0.2">
      <c r="A185" s="342" t="s">
        <v>1136</v>
      </c>
      <c r="B185" s="342" t="s">
        <v>1130</v>
      </c>
      <c r="C185" s="342" t="s">
        <v>1120</v>
      </c>
      <c r="D185" s="342" t="s">
        <v>464</v>
      </c>
      <c r="E185" s="160" t="s">
        <v>124</v>
      </c>
      <c r="F185" s="160">
        <v>150</v>
      </c>
      <c r="G185" s="160">
        <v>150</v>
      </c>
      <c r="H185" s="160">
        <v>150</v>
      </c>
      <c r="I185" s="160">
        <v>150</v>
      </c>
      <c r="J185" s="160">
        <v>150</v>
      </c>
      <c r="K185" s="160">
        <v>150</v>
      </c>
      <c r="L185" s="344" t="s">
        <v>225</v>
      </c>
    </row>
    <row r="186" spans="1:12" x14ac:dyDescent="0.2">
      <c r="A186" s="343"/>
      <c r="B186" s="343"/>
      <c r="C186" s="343"/>
      <c r="D186" s="343"/>
      <c r="E186" s="160" t="s">
        <v>125</v>
      </c>
      <c r="F186" s="160">
        <v>114</v>
      </c>
      <c r="G186" s="160">
        <v>92</v>
      </c>
      <c r="H186" s="160">
        <v>110</v>
      </c>
      <c r="I186" s="160">
        <v>110</v>
      </c>
      <c r="J186" s="160">
        <v>118</v>
      </c>
      <c r="K186" s="160">
        <v>125</v>
      </c>
      <c r="L186" s="344"/>
    </row>
    <row r="187" spans="1:12" x14ac:dyDescent="0.2">
      <c r="A187" s="342" t="s">
        <v>1137</v>
      </c>
      <c r="B187" s="342" t="s">
        <v>1121</v>
      </c>
      <c r="C187" s="342" t="s">
        <v>1120</v>
      </c>
      <c r="D187" s="342" t="s">
        <v>464</v>
      </c>
      <c r="E187" s="160" t="s">
        <v>124</v>
      </c>
      <c r="F187" s="160" t="s">
        <v>263</v>
      </c>
      <c r="G187" s="160" t="s">
        <v>263</v>
      </c>
      <c r="H187" s="160" t="s">
        <v>263</v>
      </c>
      <c r="I187" s="160" t="s">
        <v>263</v>
      </c>
      <c r="J187" s="160" t="s">
        <v>263</v>
      </c>
      <c r="K187" s="160" t="s">
        <v>263</v>
      </c>
      <c r="L187" s="344" t="s">
        <v>225</v>
      </c>
    </row>
    <row r="188" spans="1:12" x14ac:dyDescent="0.2">
      <c r="A188" s="343"/>
      <c r="B188" s="343"/>
      <c r="C188" s="343"/>
      <c r="D188" s="343"/>
      <c r="E188" s="160" t="s">
        <v>125</v>
      </c>
      <c r="F188" s="160">
        <v>4677</v>
      </c>
      <c r="G188" s="160">
        <v>4690</v>
      </c>
      <c r="H188" s="160">
        <v>5492</v>
      </c>
      <c r="I188" s="160">
        <v>6122</v>
      </c>
      <c r="J188" s="160">
        <v>6661</v>
      </c>
      <c r="K188" s="160">
        <v>4958</v>
      </c>
      <c r="L188" s="344"/>
    </row>
    <row r="189" spans="1:12" x14ac:dyDescent="0.2">
      <c r="A189" s="342" t="s">
        <v>1138</v>
      </c>
      <c r="B189" s="342" t="s">
        <v>1130</v>
      </c>
      <c r="C189" s="342" t="s">
        <v>1120</v>
      </c>
      <c r="D189" s="342" t="s">
        <v>464</v>
      </c>
      <c r="E189" s="160" t="s">
        <v>124</v>
      </c>
      <c r="F189" s="160" t="s">
        <v>263</v>
      </c>
      <c r="G189" s="160" t="s">
        <v>263</v>
      </c>
      <c r="H189" s="160" t="s">
        <v>263</v>
      </c>
      <c r="I189" s="160" t="s">
        <v>263</v>
      </c>
      <c r="J189" s="160" t="s">
        <v>263</v>
      </c>
      <c r="K189" s="160" t="s">
        <v>263</v>
      </c>
      <c r="L189" s="344" t="s">
        <v>225</v>
      </c>
    </row>
    <row r="190" spans="1:12" x14ac:dyDescent="0.2">
      <c r="A190" s="343"/>
      <c r="B190" s="343"/>
      <c r="C190" s="343"/>
      <c r="D190" s="343"/>
      <c r="E190" s="160" t="s">
        <v>125</v>
      </c>
      <c r="F190" s="160" t="s">
        <v>263</v>
      </c>
      <c r="G190" s="160">
        <v>254</v>
      </c>
      <c r="H190" s="160">
        <v>349</v>
      </c>
      <c r="I190" s="160">
        <v>329</v>
      </c>
      <c r="J190" s="160">
        <v>344</v>
      </c>
      <c r="K190" s="160">
        <v>190</v>
      </c>
      <c r="L190" s="344"/>
    </row>
    <row r="191" spans="1:12" x14ac:dyDescent="0.2">
      <c r="A191" s="342" t="s">
        <v>1139</v>
      </c>
      <c r="B191" s="342" t="s">
        <v>1123</v>
      </c>
      <c r="C191" s="342" t="s">
        <v>1120</v>
      </c>
      <c r="D191" s="342" t="s">
        <v>464</v>
      </c>
      <c r="E191" s="160" t="s">
        <v>124</v>
      </c>
      <c r="F191" s="160" t="s">
        <v>263</v>
      </c>
      <c r="G191" s="160" t="s">
        <v>263</v>
      </c>
      <c r="H191" s="160" t="s">
        <v>263</v>
      </c>
      <c r="I191" s="160" t="s">
        <v>263</v>
      </c>
      <c r="J191" s="160" t="s">
        <v>263</v>
      </c>
      <c r="K191" s="160" t="s">
        <v>263</v>
      </c>
      <c r="L191" s="344" t="s">
        <v>225</v>
      </c>
    </row>
    <row r="192" spans="1:12" x14ac:dyDescent="0.2">
      <c r="A192" s="343"/>
      <c r="B192" s="343"/>
      <c r="C192" s="343"/>
      <c r="D192" s="343"/>
      <c r="E192" s="160" t="s">
        <v>125</v>
      </c>
      <c r="F192" s="160">
        <v>13650</v>
      </c>
      <c r="G192" s="160">
        <v>8531</v>
      </c>
      <c r="H192" s="160">
        <v>7516</v>
      </c>
      <c r="I192" s="160">
        <v>9292</v>
      </c>
      <c r="J192" s="160">
        <v>9292</v>
      </c>
      <c r="K192" s="160">
        <v>8227</v>
      </c>
      <c r="L192" s="344"/>
    </row>
    <row r="193" spans="1:12" x14ac:dyDescent="0.2">
      <c r="A193" s="342" t="s">
        <v>1140</v>
      </c>
      <c r="B193" s="342" t="s">
        <v>1121</v>
      </c>
      <c r="C193" s="342" t="s">
        <v>1120</v>
      </c>
      <c r="D193" s="342" t="s">
        <v>464</v>
      </c>
      <c r="E193" s="160" t="s">
        <v>124</v>
      </c>
      <c r="F193" s="160" t="s">
        <v>263</v>
      </c>
      <c r="G193" s="160" t="s">
        <v>263</v>
      </c>
      <c r="H193" s="160" t="s">
        <v>263</v>
      </c>
      <c r="I193" s="160" t="s">
        <v>263</v>
      </c>
      <c r="J193" s="160" t="s">
        <v>263</v>
      </c>
      <c r="K193" s="160" t="s">
        <v>263</v>
      </c>
      <c r="L193" s="344" t="s">
        <v>225</v>
      </c>
    </row>
    <row r="194" spans="1:12" x14ac:dyDescent="0.2">
      <c r="A194" s="343"/>
      <c r="B194" s="343"/>
      <c r="C194" s="343"/>
      <c r="D194" s="343"/>
      <c r="E194" s="160" t="s">
        <v>125</v>
      </c>
      <c r="F194" s="160">
        <v>649</v>
      </c>
      <c r="G194" s="160">
        <v>879</v>
      </c>
      <c r="H194" s="160">
        <v>813</v>
      </c>
      <c r="I194" s="160">
        <v>1129</v>
      </c>
      <c r="J194" s="160">
        <v>1327</v>
      </c>
      <c r="K194" s="160">
        <v>687</v>
      </c>
      <c r="L194" s="344"/>
    </row>
    <row r="195" spans="1:12" x14ac:dyDescent="0.2">
      <c r="A195" s="342" t="s">
        <v>1141</v>
      </c>
      <c r="B195" s="342" t="s">
        <v>1121</v>
      </c>
      <c r="C195" s="342" t="s">
        <v>1120</v>
      </c>
      <c r="D195" s="342" t="s">
        <v>464</v>
      </c>
      <c r="E195" s="160" t="s">
        <v>124</v>
      </c>
      <c r="F195" s="160" t="s">
        <v>263</v>
      </c>
      <c r="G195" s="160" t="s">
        <v>263</v>
      </c>
      <c r="H195" s="160" t="s">
        <v>263</v>
      </c>
      <c r="I195" s="160" t="s">
        <v>263</v>
      </c>
      <c r="J195" s="160" t="s">
        <v>263</v>
      </c>
      <c r="K195" s="160" t="s">
        <v>263</v>
      </c>
      <c r="L195" s="344" t="s">
        <v>225</v>
      </c>
    </row>
    <row r="196" spans="1:12" x14ac:dyDescent="0.2">
      <c r="A196" s="343"/>
      <c r="B196" s="343"/>
      <c r="C196" s="343"/>
      <c r="D196" s="343"/>
      <c r="E196" s="160" t="s">
        <v>125</v>
      </c>
      <c r="F196" s="160">
        <v>224</v>
      </c>
      <c r="G196" s="160">
        <v>172</v>
      </c>
      <c r="H196" s="160">
        <v>261</v>
      </c>
      <c r="I196" s="160">
        <v>285</v>
      </c>
      <c r="J196" s="160">
        <v>356</v>
      </c>
      <c r="K196" s="160">
        <v>230</v>
      </c>
      <c r="L196" s="344"/>
    </row>
    <row r="197" spans="1:12" x14ac:dyDescent="0.2">
      <c r="A197" s="342" t="s">
        <v>1142</v>
      </c>
      <c r="B197" s="342" t="s">
        <v>1123</v>
      </c>
      <c r="C197" s="342" t="s">
        <v>1120</v>
      </c>
      <c r="D197" s="342" t="s">
        <v>464</v>
      </c>
      <c r="E197" s="160" t="s">
        <v>124</v>
      </c>
      <c r="F197" s="160" t="s">
        <v>263</v>
      </c>
      <c r="G197" s="160" t="s">
        <v>263</v>
      </c>
      <c r="H197" s="160" t="s">
        <v>263</v>
      </c>
      <c r="I197" s="160" t="s">
        <v>263</v>
      </c>
      <c r="J197" s="160" t="s">
        <v>263</v>
      </c>
      <c r="K197" s="160" t="s">
        <v>263</v>
      </c>
      <c r="L197" s="344" t="s">
        <v>225</v>
      </c>
    </row>
    <row r="198" spans="1:12" x14ac:dyDescent="0.2">
      <c r="A198" s="343"/>
      <c r="B198" s="343"/>
      <c r="C198" s="343"/>
      <c r="D198" s="343"/>
      <c r="E198" s="160" t="s">
        <v>125</v>
      </c>
      <c r="F198" s="160">
        <v>80</v>
      </c>
      <c r="G198" s="160">
        <v>78</v>
      </c>
      <c r="H198" s="160">
        <v>118</v>
      </c>
      <c r="I198" s="160">
        <v>63</v>
      </c>
      <c r="J198" s="160">
        <v>98</v>
      </c>
      <c r="K198" s="160">
        <v>39</v>
      </c>
      <c r="L198" s="344"/>
    </row>
    <row r="199" spans="1:12" x14ac:dyDescent="0.2">
      <c r="A199" s="342" t="s">
        <v>1143</v>
      </c>
      <c r="B199" s="342" t="s">
        <v>1118</v>
      </c>
      <c r="C199" s="342" t="s">
        <v>1120</v>
      </c>
      <c r="D199" s="342" t="s">
        <v>464</v>
      </c>
      <c r="E199" s="160" t="s">
        <v>124</v>
      </c>
      <c r="F199" s="160" t="s">
        <v>263</v>
      </c>
      <c r="G199" s="160" t="s">
        <v>263</v>
      </c>
      <c r="H199" s="160" t="s">
        <v>263</v>
      </c>
      <c r="I199" s="160" t="s">
        <v>263</v>
      </c>
      <c r="J199" s="160" t="s">
        <v>263</v>
      </c>
      <c r="K199" s="160" t="s">
        <v>263</v>
      </c>
      <c r="L199" s="344" t="s">
        <v>225</v>
      </c>
    </row>
    <row r="200" spans="1:12" x14ac:dyDescent="0.2">
      <c r="A200" s="343"/>
      <c r="B200" s="343"/>
      <c r="C200" s="343"/>
      <c r="D200" s="343"/>
      <c r="E200" s="160" t="s">
        <v>125</v>
      </c>
      <c r="F200" s="160" t="s">
        <v>263</v>
      </c>
      <c r="G200" s="160" t="s">
        <v>263</v>
      </c>
      <c r="H200" s="160" t="s">
        <v>263</v>
      </c>
      <c r="I200" s="160" t="s">
        <v>263</v>
      </c>
      <c r="J200" s="160" t="s">
        <v>263</v>
      </c>
      <c r="K200" s="160">
        <v>25</v>
      </c>
      <c r="L200" s="344"/>
    </row>
    <row r="201" spans="1:12" x14ac:dyDescent="0.2">
      <c r="A201" s="342" t="s">
        <v>1144</v>
      </c>
      <c r="B201" s="342" t="s">
        <v>1123</v>
      </c>
      <c r="C201" s="342" t="s">
        <v>1120</v>
      </c>
      <c r="D201" s="342" t="s">
        <v>464</v>
      </c>
      <c r="E201" s="160" t="s">
        <v>124</v>
      </c>
      <c r="F201" s="160" t="s">
        <v>263</v>
      </c>
      <c r="G201" s="160" t="s">
        <v>263</v>
      </c>
      <c r="H201" s="160" t="s">
        <v>263</v>
      </c>
      <c r="I201" s="160" t="s">
        <v>263</v>
      </c>
      <c r="J201" s="160" t="s">
        <v>263</v>
      </c>
      <c r="K201" s="160" t="s">
        <v>263</v>
      </c>
      <c r="L201" s="344" t="s">
        <v>225</v>
      </c>
    </row>
    <row r="202" spans="1:12" x14ac:dyDescent="0.2">
      <c r="A202" s="343"/>
      <c r="B202" s="343"/>
      <c r="C202" s="343"/>
      <c r="D202" s="343"/>
      <c r="E202" s="160" t="s">
        <v>125</v>
      </c>
      <c r="F202" s="160">
        <v>8077</v>
      </c>
      <c r="G202" s="160">
        <v>5871</v>
      </c>
      <c r="H202" s="160">
        <v>6675</v>
      </c>
      <c r="I202" s="160">
        <v>6960</v>
      </c>
      <c r="J202" s="160">
        <v>7401</v>
      </c>
      <c r="K202" s="160">
        <v>5660</v>
      </c>
      <c r="L202" s="344"/>
    </row>
    <row r="203" spans="1:12" x14ac:dyDescent="0.2">
      <c r="A203" s="342" t="s">
        <v>1145</v>
      </c>
      <c r="B203" s="342" t="s">
        <v>1123</v>
      </c>
      <c r="C203" s="342" t="s">
        <v>1120</v>
      </c>
      <c r="D203" s="342" t="s">
        <v>464</v>
      </c>
      <c r="E203" s="160" t="s">
        <v>124</v>
      </c>
      <c r="F203" s="160" t="s">
        <v>263</v>
      </c>
      <c r="G203" s="160" t="s">
        <v>263</v>
      </c>
      <c r="H203" s="160" t="s">
        <v>263</v>
      </c>
      <c r="I203" s="160" t="s">
        <v>263</v>
      </c>
      <c r="J203" s="160" t="s">
        <v>263</v>
      </c>
      <c r="K203" s="160" t="s">
        <v>263</v>
      </c>
      <c r="L203" s="344" t="s">
        <v>225</v>
      </c>
    </row>
    <row r="204" spans="1:12" x14ac:dyDescent="0.2">
      <c r="A204" s="343"/>
      <c r="B204" s="343"/>
      <c r="C204" s="343"/>
      <c r="D204" s="343"/>
      <c r="E204" s="160" t="s">
        <v>125</v>
      </c>
      <c r="F204" s="160">
        <v>199</v>
      </c>
      <c r="G204" s="160">
        <v>174</v>
      </c>
      <c r="H204" s="160">
        <v>150</v>
      </c>
      <c r="I204" s="160">
        <v>133</v>
      </c>
      <c r="J204" s="160">
        <v>124</v>
      </c>
      <c r="K204" s="160">
        <v>121</v>
      </c>
      <c r="L204" s="344"/>
    </row>
    <row r="205" spans="1:12" x14ac:dyDescent="0.2">
      <c r="A205" s="342" t="s">
        <v>1223</v>
      </c>
      <c r="B205" s="342" t="s">
        <v>1224</v>
      </c>
      <c r="C205" s="342" t="s">
        <v>1120</v>
      </c>
      <c r="D205" s="342" t="s">
        <v>464</v>
      </c>
      <c r="E205" s="160" t="s">
        <v>124</v>
      </c>
      <c r="F205" s="160" t="s">
        <v>263</v>
      </c>
      <c r="G205" s="160" t="s">
        <v>263</v>
      </c>
      <c r="H205" s="160" t="s">
        <v>263</v>
      </c>
      <c r="I205" s="160" t="s">
        <v>263</v>
      </c>
      <c r="J205" s="160" t="s">
        <v>263</v>
      </c>
      <c r="K205" s="160" t="s">
        <v>263</v>
      </c>
      <c r="L205" s="344" t="s">
        <v>225</v>
      </c>
    </row>
    <row r="206" spans="1:12" x14ac:dyDescent="0.2">
      <c r="A206" s="343"/>
      <c r="B206" s="343"/>
      <c r="C206" s="343"/>
      <c r="D206" s="343"/>
      <c r="E206" s="160" t="s">
        <v>125</v>
      </c>
      <c r="F206" s="160">
        <v>1160</v>
      </c>
      <c r="G206" s="160">
        <v>1008</v>
      </c>
      <c r="H206" s="160">
        <v>1125</v>
      </c>
      <c r="I206" s="160">
        <v>1815</v>
      </c>
      <c r="J206" s="160">
        <v>2023</v>
      </c>
      <c r="K206" s="160">
        <v>1133</v>
      </c>
      <c r="L206" s="344"/>
    </row>
    <row r="207" spans="1:12" x14ac:dyDescent="0.2">
      <c r="A207" s="342" t="s">
        <v>1225</v>
      </c>
      <c r="B207" s="342" t="s">
        <v>1123</v>
      </c>
      <c r="C207" s="342" t="s">
        <v>1120</v>
      </c>
      <c r="D207" s="342" t="s">
        <v>464</v>
      </c>
      <c r="E207" s="160" t="s">
        <v>124</v>
      </c>
      <c r="F207" s="160" t="s">
        <v>263</v>
      </c>
      <c r="G207" s="160" t="s">
        <v>263</v>
      </c>
      <c r="H207" s="160" t="s">
        <v>263</v>
      </c>
      <c r="I207" s="160" t="s">
        <v>263</v>
      </c>
      <c r="J207" s="160" t="s">
        <v>263</v>
      </c>
      <c r="K207" s="160" t="s">
        <v>263</v>
      </c>
      <c r="L207" s="344" t="s">
        <v>225</v>
      </c>
    </row>
    <row r="208" spans="1:12" x14ac:dyDescent="0.2">
      <c r="A208" s="343"/>
      <c r="B208" s="343"/>
      <c r="C208" s="343"/>
      <c r="D208" s="343"/>
      <c r="E208" s="160" t="s">
        <v>125</v>
      </c>
      <c r="F208" s="160">
        <v>1092</v>
      </c>
      <c r="G208" s="160">
        <v>926</v>
      </c>
      <c r="H208" s="160">
        <v>1091</v>
      </c>
      <c r="I208" s="160">
        <v>1788</v>
      </c>
      <c r="J208" s="160">
        <v>1982</v>
      </c>
      <c r="K208" s="160">
        <v>1112</v>
      </c>
      <c r="L208" s="344"/>
    </row>
    <row r="209" spans="1:12" x14ac:dyDescent="0.2">
      <c r="A209" s="342" t="s">
        <v>1226</v>
      </c>
      <c r="B209" s="342" t="s">
        <v>1121</v>
      </c>
      <c r="C209" s="342" t="s">
        <v>1120</v>
      </c>
      <c r="D209" s="342" t="s">
        <v>464</v>
      </c>
      <c r="E209" s="160" t="s">
        <v>124</v>
      </c>
      <c r="F209" s="160" t="s">
        <v>263</v>
      </c>
      <c r="G209" s="160" t="s">
        <v>263</v>
      </c>
      <c r="H209" s="160" t="s">
        <v>263</v>
      </c>
      <c r="I209" s="160" t="s">
        <v>263</v>
      </c>
      <c r="J209" s="160" t="s">
        <v>263</v>
      </c>
      <c r="K209" s="160" t="s">
        <v>263</v>
      </c>
      <c r="L209" s="344" t="s">
        <v>225</v>
      </c>
    </row>
    <row r="210" spans="1:12" x14ac:dyDescent="0.2">
      <c r="A210" s="343"/>
      <c r="B210" s="343"/>
      <c r="C210" s="343"/>
      <c r="D210" s="343"/>
      <c r="E210" s="160" t="s">
        <v>125</v>
      </c>
      <c r="F210" s="160">
        <v>424</v>
      </c>
      <c r="G210" s="160">
        <v>338</v>
      </c>
      <c r="H210" s="160">
        <v>437</v>
      </c>
      <c r="I210" s="160">
        <v>712</v>
      </c>
      <c r="J210" s="160">
        <v>781</v>
      </c>
      <c r="K210" s="160">
        <v>439</v>
      </c>
      <c r="L210" s="344"/>
    </row>
    <row r="211" spans="1:12" x14ac:dyDescent="0.2">
      <c r="A211" s="342" t="s">
        <v>1227</v>
      </c>
      <c r="B211" s="342" t="s">
        <v>1123</v>
      </c>
      <c r="C211" s="342" t="s">
        <v>1120</v>
      </c>
      <c r="D211" s="342" t="s">
        <v>464</v>
      </c>
      <c r="E211" s="160" t="s">
        <v>124</v>
      </c>
      <c r="F211" s="160" t="s">
        <v>263</v>
      </c>
      <c r="G211" s="160" t="s">
        <v>263</v>
      </c>
      <c r="H211" s="160" t="s">
        <v>263</v>
      </c>
      <c r="I211" s="160" t="s">
        <v>263</v>
      </c>
      <c r="J211" s="160" t="s">
        <v>263</v>
      </c>
      <c r="K211" s="160" t="s">
        <v>263</v>
      </c>
      <c r="L211" s="344" t="s">
        <v>225</v>
      </c>
    </row>
    <row r="212" spans="1:12" x14ac:dyDescent="0.2">
      <c r="A212" s="343"/>
      <c r="B212" s="343"/>
      <c r="C212" s="343"/>
      <c r="D212" s="343"/>
      <c r="E212" s="160" t="s">
        <v>125</v>
      </c>
      <c r="F212" s="169">
        <v>164450</v>
      </c>
      <c r="G212" s="169">
        <v>81600</v>
      </c>
      <c r="H212" s="169">
        <v>97751</v>
      </c>
      <c r="I212" s="169">
        <v>139099</v>
      </c>
      <c r="J212" s="169">
        <v>151300</v>
      </c>
      <c r="K212" s="169">
        <v>93790</v>
      </c>
      <c r="L212" s="344"/>
    </row>
    <row r="213" spans="1:12" x14ac:dyDescent="0.2">
      <c r="A213" s="342" t="s">
        <v>1328</v>
      </c>
      <c r="B213" s="344" t="s">
        <v>4</v>
      </c>
      <c r="C213" s="344" t="s">
        <v>1329</v>
      </c>
      <c r="D213" s="344" t="s">
        <v>1636</v>
      </c>
      <c r="E213" s="160" t="s">
        <v>124</v>
      </c>
      <c r="F213" s="160" t="s">
        <v>263</v>
      </c>
      <c r="G213" s="160">
        <v>576</v>
      </c>
      <c r="H213" s="160">
        <v>1021</v>
      </c>
      <c r="I213" s="160">
        <v>785</v>
      </c>
      <c r="J213" s="160">
        <v>899</v>
      </c>
      <c r="K213" s="159">
        <v>0</v>
      </c>
      <c r="L213" s="345" t="s">
        <v>225</v>
      </c>
    </row>
    <row r="214" spans="1:12" x14ac:dyDescent="0.2">
      <c r="A214" s="343"/>
      <c r="B214" s="344"/>
      <c r="C214" s="344"/>
      <c r="D214" s="344"/>
      <c r="E214" s="160" t="s">
        <v>125</v>
      </c>
      <c r="F214" s="160" t="s">
        <v>263</v>
      </c>
      <c r="G214" s="160">
        <v>576</v>
      </c>
      <c r="H214" s="160">
        <v>1021</v>
      </c>
      <c r="I214" s="160">
        <v>785</v>
      </c>
      <c r="J214" s="160">
        <v>899</v>
      </c>
      <c r="K214" s="159">
        <v>224</v>
      </c>
      <c r="L214" s="337"/>
    </row>
    <row r="215" spans="1:12" x14ac:dyDescent="0.2">
      <c r="A215" s="342" t="s">
        <v>1330</v>
      </c>
      <c r="B215" s="344" t="s">
        <v>3</v>
      </c>
      <c r="C215" s="344" t="s">
        <v>10</v>
      </c>
      <c r="D215" s="344" t="s">
        <v>1636</v>
      </c>
      <c r="E215" s="160" t="s">
        <v>124</v>
      </c>
      <c r="F215" s="160" t="s">
        <v>263</v>
      </c>
      <c r="G215" s="160">
        <v>37.799999999999997</v>
      </c>
      <c r="H215" s="160">
        <v>45</v>
      </c>
      <c r="I215" s="160">
        <v>45</v>
      </c>
      <c r="J215" s="160">
        <v>30</v>
      </c>
      <c r="K215" s="159">
        <v>30</v>
      </c>
      <c r="L215" s="345" t="s">
        <v>1637</v>
      </c>
    </row>
    <row r="216" spans="1:12" x14ac:dyDescent="0.2">
      <c r="A216" s="343"/>
      <c r="B216" s="344"/>
      <c r="C216" s="344"/>
      <c r="D216" s="344"/>
      <c r="E216" s="160" t="s">
        <v>125</v>
      </c>
      <c r="F216" s="160" t="s">
        <v>263</v>
      </c>
      <c r="G216" s="160" t="s">
        <v>43</v>
      </c>
      <c r="H216" s="160">
        <v>42.3</v>
      </c>
      <c r="I216" s="160">
        <v>36.6</v>
      </c>
      <c r="J216" s="160">
        <v>31.8</v>
      </c>
      <c r="K216" s="159">
        <v>28.8</v>
      </c>
      <c r="L216" s="337"/>
    </row>
    <row r="217" spans="1:12" ht="12.75" customHeight="1" x14ac:dyDescent="0.2">
      <c r="A217" s="342" t="s">
        <v>1331</v>
      </c>
      <c r="B217" s="344" t="s">
        <v>4</v>
      </c>
      <c r="C217" s="344" t="s">
        <v>1329</v>
      </c>
      <c r="D217" s="344" t="s">
        <v>1636</v>
      </c>
      <c r="E217" s="160" t="s">
        <v>124</v>
      </c>
      <c r="F217" s="160" t="s">
        <v>263</v>
      </c>
      <c r="G217" s="160">
        <v>157</v>
      </c>
      <c r="H217" s="160">
        <v>280</v>
      </c>
      <c r="I217" s="160">
        <v>178</v>
      </c>
      <c r="J217" s="160">
        <v>222</v>
      </c>
      <c r="K217" s="159">
        <v>0</v>
      </c>
      <c r="L217" s="345" t="s">
        <v>225</v>
      </c>
    </row>
    <row r="218" spans="1:12" x14ac:dyDescent="0.2">
      <c r="A218" s="343"/>
      <c r="B218" s="344"/>
      <c r="C218" s="344"/>
      <c r="D218" s="344"/>
      <c r="E218" s="160" t="s">
        <v>125</v>
      </c>
      <c r="F218" s="160" t="s">
        <v>263</v>
      </c>
      <c r="G218" s="160">
        <v>157</v>
      </c>
      <c r="H218" s="160">
        <v>280</v>
      </c>
      <c r="I218" s="160">
        <v>178</v>
      </c>
      <c r="J218" s="160">
        <v>222</v>
      </c>
      <c r="K218" s="159">
        <v>67</v>
      </c>
      <c r="L218" s="337"/>
    </row>
    <row r="219" spans="1:12" ht="12.75" customHeight="1" x14ac:dyDescent="0.2">
      <c r="A219" s="342" t="s">
        <v>1332</v>
      </c>
      <c r="B219" s="344" t="s">
        <v>3</v>
      </c>
      <c r="C219" s="344" t="s">
        <v>10</v>
      </c>
      <c r="D219" s="344" t="s">
        <v>1636</v>
      </c>
      <c r="E219" s="160" t="s">
        <v>124</v>
      </c>
      <c r="F219" s="160" t="s">
        <v>263</v>
      </c>
      <c r="G219" s="160" t="s">
        <v>43</v>
      </c>
      <c r="H219" s="160">
        <v>45</v>
      </c>
      <c r="I219" s="160">
        <v>45</v>
      </c>
      <c r="J219" s="160">
        <v>30</v>
      </c>
      <c r="K219" s="159">
        <v>0.4</v>
      </c>
      <c r="L219" s="345" t="s">
        <v>225</v>
      </c>
    </row>
    <row r="220" spans="1:12" x14ac:dyDescent="0.2">
      <c r="A220" s="343"/>
      <c r="B220" s="344"/>
      <c r="C220" s="344"/>
      <c r="D220" s="344"/>
      <c r="E220" s="160" t="s">
        <v>125</v>
      </c>
      <c r="F220" s="160" t="s">
        <v>263</v>
      </c>
      <c r="G220" s="160">
        <v>19.399999999999999</v>
      </c>
      <c r="H220" s="160">
        <v>24.7</v>
      </c>
      <c r="I220" s="160">
        <v>8.1999999999999993</v>
      </c>
      <c r="J220" s="160">
        <v>13.1</v>
      </c>
      <c r="K220" s="159">
        <v>13.6</v>
      </c>
      <c r="L220" s="337"/>
    </row>
    <row r="221" spans="1:12" ht="12.75" customHeight="1" x14ac:dyDescent="0.2">
      <c r="A221" s="342" t="s">
        <v>1333</v>
      </c>
      <c r="B221" s="344" t="s">
        <v>4</v>
      </c>
      <c r="C221" s="344" t="s">
        <v>1329</v>
      </c>
      <c r="D221" s="354" t="s">
        <v>1636</v>
      </c>
      <c r="E221" s="160" t="s">
        <v>124</v>
      </c>
      <c r="F221" s="160" t="s">
        <v>263</v>
      </c>
      <c r="G221" s="160">
        <v>175</v>
      </c>
      <c r="H221" s="160">
        <v>154</v>
      </c>
      <c r="I221" s="160">
        <v>213</v>
      </c>
      <c r="J221" s="160">
        <v>315</v>
      </c>
      <c r="K221" s="159">
        <v>0</v>
      </c>
      <c r="L221" s="345" t="s">
        <v>225</v>
      </c>
    </row>
    <row r="222" spans="1:12" x14ac:dyDescent="0.2">
      <c r="A222" s="343"/>
      <c r="B222" s="344"/>
      <c r="C222" s="344"/>
      <c r="D222" s="344"/>
      <c r="E222" s="160" t="s">
        <v>125</v>
      </c>
      <c r="F222" s="160" t="s">
        <v>263</v>
      </c>
      <c r="G222" s="160">
        <v>175</v>
      </c>
      <c r="H222" s="160">
        <v>154</v>
      </c>
      <c r="I222" s="160">
        <v>213</v>
      </c>
      <c r="J222" s="160">
        <v>315</v>
      </c>
      <c r="K222" s="159">
        <v>37</v>
      </c>
      <c r="L222" s="337"/>
    </row>
    <row r="223" spans="1:12" x14ac:dyDescent="0.2">
      <c r="A223" s="342" t="s">
        <v>1335</v>
      </c>
      <c r="B223" s="344" t="s">
        <v>3</v>
      </c>
      <c r="C223" s="344" t="s">
        <v>10</v>
      </c>
      <c r="D223" s="344" t="s">
        <v>1636</v>
      </c>
      <c r="E223" s="160" t="s">
        <v>124</v>
      </c>
      <c r="F223" s="160" t="s">
        <v>263</v>
      </c>
      <c r="G223" s="160" t="s">
        <v>43</v>
      </c>
      <c r="H223" s="160">
        <v>45</v>
      </c>
      <c r="I223" s="160">
        <v>45</v>
      </c>
      <c r="J223" s="160">
        <v>30</v>
      </c>
      <c r="K223" s="159">
        <v>30</v>
      </c>
      <c r="L223" s="345" t="s">
        <v>1638</v>
      </c>
    </row>
    <row r="224" spans="1:12" x14ac:dyDescent="0.2">
      <c r="A224" s="343"/>
      <c r="B224" s="344"/>
      <c r="C224" s="344"/>
      <c r="D224" s="344"/>
      <c r="E224" s="160" t="s">
        <v>125</v>
      </c>
      <c r="F224" s="160" t="s">
        <v>263</v>
      </c>
      <c r="G224" s="160">
        <v>2.8</v>
      </c>
      <c r="H224" s="160">
        <v>6.1</v>
      </c>
      <c r="I224" s="160">
        <v>1.8</v>
      </c>
      <c r="J224" s="160">
        <v>1.4</v>
      </c>
      <c r="L224" s="337"/>
    </row>
    <row r="225" spans="1:12" ht="12.75" customHeight="1" x14ac:dyDescent="0.2">
      <c r="A225" s="344" t="s">
        <v>1336</v>
      </c>
      <c r="B225" s="344" t="s">
        <v>2</v>
      </c>
      <c r="C225" s="344" t="s">
        <v>10</v>
      </c>
      <c r="D225" s="344" t="s">
        <v>1334</v>
      </c>
      <c r="E225" s="160" t="s">
        <v>124</v>
      </c>
      <c r="F225" s="160" t="s">
        <v>263</v>
      </c>
      <c r="G225" s="160" t="s">
        <v>263</v>
      </c>
      <c r="H225" s="160" t="s">
        <v>263</v>
      </c>
      <c r="I225" s="160" t="s">
        <v>263</v>
      </c>
      <c r="J225" s="160"/>
      <c r="K225" s="159">
        <v>24</v>
      </c>
      <c r="L225" s="345" t="s">
        <v>226</v>
      </c>
    </row>
    <row r="226" spans="1:12" x14ac:dyDescent="0.2">
      <c r="A226" s="344"/>
      <c r="B226" s="344"/>
      <c r="C226" s="344"/>
      <c r="D226" s="344"/>
      <c r="E226" s="160" t="s">
        <v>125</v>
      </c>
      <c r="F226" s="160" t="s">
        <v>263</v>
      </c>
      <c r="G226" s="160" t="s">
        <v>263</v>
      </c>
      <c r="H226" s="160" t="s">
        <v>263</v>
      </c>
      <c r="I226" s="160" t="s">
        <v>263</v>
      </c>
      <c r="J226" s="160" t="s">
        <v>263</v>
      </c>
      <c r="K226" s="160" t="s">
        <v>263</v>
      </c>
      <c r="L226" s="337"/>
    </row>
    <row r="227" spans="1:12" ht="12.75" customHeight="1" x14ac:dyDescent="0.2">
      <c r="A227" s="342" t="s">
        <v>1403</v>
      </c>
      <c r="B227" s="342" t="s">
        <v>4</v>
      </c>
      <c r="C227" s="342" t="s">
        <v>1329</v>
      </c>
      <c r="D227" s="342" t="s">
        <v>1404</v>
      </c>
      <c r="E227" s="160" t="s">
        <v>124</v>
      </c>
      <c r="F227" s="160" t="s">
        <v>1405</v>
      </c>
      <c r="G227" s="160" t="s">
        <v>1405</v>
      </c>
      <c r="H227" s="160" t="s">
        <v>1406</v>
      </c>
      <c r="I227" s="160" t="s">
        <v>1405</v>
      </c>
      <c r="J227" s="160" t="s">
        <v>1405</v>
      </c>
      <c r="K227" s="160" t="s">
        <v>1405</v>
      </c>
      <c r="L227" s="344" t="s">
        <v>225</v>
      </c>
    </row>
    <row r="228" spans="1:12" x14ac:dyDescent="0.2">
      <c r="A228" s="343"/>
      <c r="B228" s="343"/>
      <c r="C228" s="343"/>
      <c r="D228" s="343"/>
      <c r="E228" s="160" t="s">
        <v>125</v>
      </c>
      <c r="F228" s="160">
        <v>816</v>
      </c>
      <c r="G228" s="160">
        <v>940</v>
      </c>
      <c r="H228" s="160">
        <v>1024</v>
      </c>
      <c r="I228" s="160">
        <v>1039</v>
      </c>
      <c r="J228" s="160">
        <v>1094</v>
      </c>
      <c r="K228" s="160">
        <v>307</v>
      </c>
      <c r="L228" s="344"/>
    </row>
    <row r="229" spans="1:12" x14ac:dyDescent="0.2">
      <c r="A229" s="342" t="s">
        <v>1407</v>
      </c>
      <c r="B229" s="342" t="s">
        <v>4</v>
      </c>
      <c r="C229" s="342" t="s">
        <v>1120</v>
      </c>
      <c r="D229" s="342" t="s">
        <v>1404</v>
      </c>
      <c r="E229" s="160" t="s">
        <v>124</v>
      </c>
      <c r="F229" s="160" t="s">
        <v>1408</v>
      </c>
      <c r="G229" s="160" t="s">
        <v>1408</v>
      </c>
      <c r="H229" s="160" t="s">
        <v>1408</v>
      </c>
      <c r="I229" s="160" t="s">
        <v>1408</v>
      </c>
      <c r="J229" s="160" t="s">
        <v>1408</v>
      </c>
      <c r="K229" s="160" t="s">
        <v>1408</v>
      </c>
      <c r="L229" s="344" t="s">
        <v>225</v>
      </c>
    </row>
    <row r="230" spans="1:12" x14ac:dyDescent="0.2">
      <c r="A230" s="343"/>
      <c r="B230" s="343"/>
      <c r="C230" s="343"/>
      <c r="D230" s="343"/>
      <c r="E230" s="160" t="s">
        <v>125</v>
      </c>
      <c r="F230" s="160">
        <v>157</v>
      </c>
      <c r="G230" s="160">
        <v>230</v>
      </c>
      <c r="H230" s="160">
        <v>196</v>
      </c>
      <c r="I230" s="160">
        <v>455</v>
      </c>
      <c r="J230" s="160">
        <v>503</v>
      </c>
      <c r="K230" s="160">
        <v>147</v>
      </c>
      <c r="L230" s="344"/>
    </row>
    <row r="231" spans="1:12" x14ac:dyDescent="0.2">
      <c r="A231" s="342" t="s">
        <v>1639</v>
      </c>
      <c r="B231" s="342" t="s">
        <v>4</v>
      </c>
      <c r="C231" s="342" t="s">
        <v>1120</v>
      </c>
      <c r="D231" s="342" t="s">
        <v>1131</v>
      </c>
      <c r="E231" s="160" t="s">
        <v>124</v>
      </c>
      <c r="F231" s="91" t="s">
        <v>263</v>
      </c>
      <c r="G231" s="160" t="s">
        <v>263</v>
      </c>
      <c r="H231" s="160" t="s">
        <v>263</v>
      </c>
      <c r="I231" s="160" t="s">
        <v>263</v>
      </c>
      <c r="J231" s="160" t="s">
        <v>263</v>
      </c>
      <c r="K231" s="160" t="s">
        <v>263</v>
      </c>
      <c r="L231" s="322" t="s">
        <v>225</v>
      </c>
    </row>
    <row r="232" spans="1:12" x14ac:dyDescent="0.2">
      <c r="A232" s="343"/>
      <c r="B232" s="343"/>
      <c r="C232" s="343"/>
      <c r="D232" s="343"/>
      <c r="E232" s="160" t="s">
        <v>125</v>
      </c>
      <c r="F232" s="91">
        <v>268</v>
      </c>
      <c r="G232" s="91">
        <v>141</v>
      </c>
      <c r="H232" s="91">
        <v>294</v>
      </c>
      <c r="I232" s="91">
        <v>293</v>
      </c>
      <c r="J232" s="91">
        <v>299</v>
      </c>
      <c r="K232" s="160">
        <v>178</v>
      </c>
      <c r="L232" s="322"/>
    </row>
    <row r="233" spans="1:12" x14ac:dyDescent="0.2">
      <c r="A233" s="342" t="s">
        <v>1640</v>
      </c>
      <c r="B233" s="342" t="s">
        <v>2</v>
      </c>
      <c r="C233" s="342" t="s">
        <v>1120</v>
      </c>
      <c r="D233" s="342" t="s">
        <v>1131</v>
      </c>
      <c r="E233" s="160" t="s">
        <v>124</v>
      </c>
      <c r="F233" s="160" t="s">
        <v>263</v>
      </c>
      <c r="G233" s="160" t="s">
        <v>263</v>
      </c>
      <c r="H233" s="160" t="s">
        <v>263</v>
      </c>
      <c r="I233" s="160" t="s">
        <v>263</v>
      </c>
      <c r="J233" s="160" t="s">
        <v>263</v>
      </c>
      <c r="K233" s="160" t="s">
        <v>263</v>
      </c>
      <c r="L233" s="322" t="s">
        <v>225</v>
      </c>
    </row>
    <row r="234" spans="1:12" x14ac:dyDescent="0.2">
      <c r="A234" s="343"/>
      <c r="B234" s="343"/>
      <c r="C234" s="343"/>
      <c r="D234" s="343"/>
      <c r="E234" s="160" t="s">
        <v>125</v>
      </c>
      <c r="F234" s="89">
        <v>0.9</v>
      </c>
      <c r="G234" s="89">
        <v>0.96</v>
      </c>
      <c r="H234" s="89">
        <v>0.85</v>
      </c>
      <c r="I234" s="89">
        <v>0.9</v>
      </c>
      <c r="J234" s="89">
        <v>0.87</v>
      </c>
      <c r="K234" s="89">
        <v>0.86</v>
      </c>
      <c r="L234" s="322"/>
    </row>
    <row r="235" spans="1:12" x14ac:dyDescent="0.2">
      <c r="A235" s="342" t="s">
        <v>1641</v>
      </c>
      <c r="B235" s="342" t="s">
        <v>4</v>
      </c>
      <c r="C235" s="342" t="s">
        <v>1120</v>
      </c>
      <c r="D235" s="342" t="s">
        <v>1131</v>
      </c>
      <c r="E235" s="160" t="s">
        <v>124</v>
      </c>
      <c r="F235" s="160" t="s">
        <v>263</v>
      </c>
      <c r="G235" s="160" t="s">
        <v>263</v>
      </c>
      <c r="H235" s="160" t="s">
        <v>263</v>
      </c>
      <c r="I235" s="160" t="s">
        <v>263</v>
      </c>
      <c r="J235" s="160" t="s">
        <v>263</v>
      </c>
      <c r="K235" s="160" t="s">
        <v>1642</v>
      </c>
      <c r="L235" s="322" t="s">
        <v>225</v>
      </c>
    </row>
    <row r="236" spans="1:12" x14ac:dyDescent="0.2">
      <c r="A236" s="343"/>
      <c r="B236" s="343"/>
      <c r="C236" s="343"/>
      <c r="D236" s="343"/>
      <c r="E236" s="160" t="s">
        <v>125</v>
      </c>
      <c r="F236" s="89">
        <v>0.88</v>
      </c>
      <c r="G236" s="89">
        <v>0.61</v>
      </c>
      <c r="H236" s="89">
        <v>0.83</v>
      </c>
      <c r="I236" s="89">
        <v>0.81</v>
      </c>
      <c r="J236" s="89">
        <v>0.79</v>
      </c>
      <c r="K236" s="89">
        <v>0.82</v>
      </c>
      <c r="L236" s="322"/>
    </row>
    <row r="237" spans="1:12" x14ac:dyDescent="0.2">
      <c r="A237" s="342" t="s">
        <v>1643</v>
      </c>
      <c r="B237" s="342" t="s">
        <v>4</v>
      </c>
      <c r="C237" s="342" t="s">
        <v>1120</v>
      </c>
      <c r="D237" s="342" t="s">
        <v>1131</v>
      </c>
      <c r="E237" s="160" t="s">
        <v>124</v>
      </c>
      <c r="F237" s="160" t="s">
        <v>263</v>
      </c>
      <c r="G237" s="160" t="s">
        <v>263</v>
      </c>
      <c r="H237" s="160" t="s">
        <v>263</v>
      </c>
      <c r="I237" s="160" t="s">
        <v>263</v>
      </c>
      <c r="J237" s="160" t="s">
        <v>263</v>
      </c>
      <c r="K237" s="160" t="s">
        <v>263</v>
      </c>
      <c r="L237" s="322" t="s">
        <v>225</v>
      </c>
    </row>
    <row r="238" spans="1:12" ht="24.75" customHeight="1" x14ac:dyDescent="0.2">
      <c r="A238" s="343"/>
      <c r="B238" s="343"/>
      <c r="C238" s="343"/>
      <c r="D238" s="343"/>
      <c r="E238" s="160" t="s">
        <v>125</v>
      </c>
      <c r="F238" s="160">
        <v>24</v>
      </c>
      <c r="G238" s="160">
        <v>24</v>
      </c>
      <c r="H238" s="160">
        <v>24</v>
      </c>
      <c r="I238" s="160">
        <v>24</v>
      </c>
      <c r="J238" s="160">
        <v>25</v>
      </c>
      <c r="K238" s="160">
        <v>25</v>
      </c>
      <c r="L238" s="322"/>
    </row>
    <row r="239" spans="1:12" ht="27.75" customHeight="1" x14ac:dyDescent="0.2">
      <c r="A239" s="342" t="s">
        <v>1644</v>
      </c>
      <c r="B239" s="342" t="s">
        <v>4</v>
      </c>
      <c r="C239" s="342" t="s">
        <v>1120</v>
      </c>
      <c r="D239" s="342" t="s">
        <v>1645</v>
      </c>
      <c r="E239" s="160" t="s">
        <v>124</v>
      </c>
      <c r="F239" s="160" t="s">
        <v>263</v>
      </c>
      <c r="G239" s="160" t="s">
        <v>263</v>
      </c>
      <c r="H239" s="160" t="s">
        <v>263</v>
      </c>
      <c r="I239" s="160" t="s">
        <v>263</v>
      </c>
      <c r="J239" s="160" t="s">
        <v>263</v>
      </c>
      <c r="K239" s="160" t="s">
        <v>263</v>
      </c>
      <c r="L239" s="322" t="s">
        <v>225</v>
      </c>
    </row>
    <row r="240" spans="1:12" ht="12.75" customHeight="1" x14ac:dyDescent="0.2">
      <c r="A240" s="343"/>
      <c r="B240" s="343"/>
      <c r="C240" s="343"/>
      <c r="D240" s="343"/>
      <c r="E240" s="160" t="s">
        <v>125</v>
      </c>
      <c r="F240" s="160" t="s">
        <v>263</v>
      </c>
      <c r="G240" s="160" t="s">
        <v>263</v>
      </c>
      <c r="H240" s="91">
        <v>1094</v>
      </c>
      <c r="I240" s="91">
        <v>1428</v>
      </c>
      <c r="J240" s="91">
        <v>1677</v>
      </c>
      <c r="K240" s="160">
        <v>421</v>
      </c>
      <c r="L240" s="322"/>
    </row>
    <row r="241" spans="1:12" x14ac:dyDescent="0.2">
      <c r="A241" s="342" t="s">
        <v>1646</v>
      </c>
      <c r="B241" s="342" t="s">
        <v>4</v>
      </c>
      <c r="C241" s="342" t="s">
        <v>1120</v>
      </c>
      <c r="D241" s="342" t="s">
        <v>464</v>
      </c>
      <c r="E241" s="160" t="s">
        <v>124</v>
      </c>
      <c r="F241" s="160" t="s">
        <v>263</v>
      </c>
      <c r="G241" s="160" t="s">
        <v>263</v>
      </c>
      <c r="H241" s="160" t="s">
        <v>263</v>
      </c>
      <c r="I241" s="160" t="s">
        <v>263</v>
      </c>
      <c r="J241" s="160" t="s">
        <v>263</v>
      </c>
      <c r="K241" s="160" t="s">
        <v>263</v>
      </c>
      <c r="L241" s="322" t="s">
        <v>225</v>
      </c>
    </row>
    <row r="242" spans="1:12" x14ac:dyDescent="0.2">
      <c r="A242" s="343"/>
      <c r="B242" s="343"/>
      <c r="C242" s="343"/>
      <c r="D242" s="343"/>
      <c r="E242" s="160" t="s">
        <v>125</v>
      </c>
      <c r="F242" s="91">
        <v>12129</v>
      </c>
      <c r="G242" s="91">
        <v>12379</v>
      </c>
      <c r="H242" s="91">
        <v>12778</v>
      </c>
      <c r="I242" s="91">
        <v>13115</v>
      </c>
      <c r="J242" s="91">
        <v>13710</v>
      </c>
      <c r="K242" s="91">
        <v>13916</v>
      </c>
      <c r="L242" s="322"/>
    </row>
    <row r="243" spans="1:12" x14ac:dyDescent="0.2">
      <c r="A243" s="342" t="s">
        <v>1647</v>
      </c>
      <c r="B243" s="342" t="s">
        <v>4</v>
      </c>
      <c r="C243" s="342" t="s">
        <v>1120</v>
      </c>
      <c r="D243" s="342" t="s">
        <v>464</v>
      </c>
      <c r="E243" s="160" t="s">
        <v>124</v>
      </c>
      <c r="F243" s="91" t="s">
        <v>263</v>
      </c>
      <c r="G243" s="160" t="s">
        <v>263</v>
      </c>
      <c r="H243" s="160" t="s">
        <v>263</v>
      </c>
      <c r="I243" s="160" t="s">
        <v>263</v>
      </c>
      <c r="J243" s="160" t="s">
        <v>263</v>
      </c>
      <c r="K243" s="160" t="s">
        <v>263</v>
      </c>
      <c r="L243" s="322" t="s">
        <v>225</v>
      </c>
    </row>
    <row r="244" spans="1:12" x14ac:dyDescent="0.2">
      <c r="A244" s="343"/>
      <c r="B244" s="343"/>
      <c r="C244" s="343"/>
      <c r="D244" s="343"/>
      <c r="E244" s="160" t="s">
        <v>125</v>
      </c>
      <c r="F244" s="91">
        <v>9269</v>
      </c>
      <c r="G244" s="91">
        <v>8812</v>
      </c>
      <c r="H244" s="91">
        <v>10324</v>
      </c>
      <c r="I244" s="91">
        <v>10473</v>
      </c>
      <c r="J244" s="91">
        <v>10332</v>
      </c>
      <c r="K244" s="91">
        <v>8300</v>
      </c>
      <c r="L244" s="322"/>
    </row>
    <row r="245" spans="1:12" x14ac:dyDescent="0.2">
      <c r="A245" s="342" t="s">
        <v>1648</v>
      </c>
      <c r="B245" s="342" t="s">
        <v>4</v>
      </c>
      <c r="C245" s="342" t="s">
        <v>1120</v>
      </c>
      <c r="D245" s="342" t="s">
        <v>1131</v>
      </c>
      <c r="E245" s="160" t="s">
        <v>124</v>
      </c>
      <c r="F245" s="160" t="s">
        <v>263</v>
      </c>
      <c r="G245" s="160" t="s">
        <v>263</v>
      </c>
      <c r="H245" s="160" t="s">
        <v>263</v>
      </c>
      <c r="I245" s="160" t="s">
        <v>263</v>
      </c>
      <c r="J245" s="160" t="s">
        <v>263</v>
      </c>
      <c r="K245" s="160" t="s">
        <v>263</v>
      </c>
      <c r="L245" s="322" t="s">
        <v>225</v>
      </c>
    </row>
    <row r="246" spans="1:12" x14ac:dyDescent="0.2">
      <c r="A246" s="343"/>
      <c r="B246" s="343"/>
      <c r="C246" s="343"/>
      <c r="D246" s="343"/>
      <c r="E246" s="160" t="s">
        <v>125</v>
      </c>
      <c r="F246" s="170">
        <v>1789</v>
      </c>
      <c r="G246" s="91">
        <v>1346</v>
      </c>
      <c r="H246" s="91">
        <v>1170</v>
      </c>
      <c r="I246" s="91">
        <v>1302</v>
      </c>
      <c r="J246" s="91">
        <v>1270</v>
      </c>
      <c r="K246" s="91">
        <v>1116</v>
      </c>
      <c r="L246" s="322"/>
    </row>
    <row r="247" spans="1:12" x14ac:dyDescent="0.2">
      <c r="A247" s="342" t="s">
        <v>1649</v>
      </c>
      <c r="B247" s="342" t="s">
        <v>4</v>
      </c>
      <c r="C247" s="342" t="s">
        <v>1120</v>
      </c>
      <c r="D247" s="342" t="s">
        <v>464</v>
      </c>
      <c r="E247" s="160" t="s">
        <v>124</v>
      </c>
      <c r="F247" s="160" t="s">
        <v>263</v>
      </c>
      <c r="G247" s="160" t="s">
        <v>263</v>
      </c>
      <c r="H247" s="160" t="s">
        <v>263</v>
      </c>
      <c r="I247" s="160" t="s">
        <v>263</v>
      </c>
      <c r="J247" s="160" t="s">
        <v>263</v>
      </c>
      <c r="K247" s="160" t="s">
        <v>263</v>
      </c>
      <c r="L247" s="322" t="s">
        <v>225</v>
      </c>
    </row>
    <row r="248" spans="1:12" x14ac:dyDescent="0.2">
      <c r="A248" s="343"/>
      <c r="B248" s="343"/>
      <c r="C248" s="343"/>
      <c r="D248" s="343"/>
      <c r="E248" s="160" t="s">
        <v>125</v>
      </c>
      <c r="F248" s="160">
        <v>715</v>
      </c>
      <c r="G248" s="160">
        <v>700</v>
      </c>
      <c r="H248" s="160">
        <v>494</v>
      </c>
      <c r="I248" s="160">
        <v>501</v>
      </c>
      <c r="J248" s="160">
        <v>716</v>
      </c>
      <c r="K248" s="160">
        <v>315</v>
      </c>
      <c r="L248" s="322"/>
    </row>
    <row r="249" spans="1:12" x14ac:dyDescent="0.2">
      <c r="A249" s="342" t="s">
        <v>1650</v>
      </c>
      <c r="B249" s="342" t="s">
        <v>4</v>
      </c>
      <c r="C249" s="342" t="s">
        <v>1120</v>
      </c>
      <c r="D249" s="342" t="s">
        <v>464</v>
      </c>
      <c r="E249" s="160" t="s">
        <v>124</v>
      </c>
      <c r="F249" s="160" t="s">
        <v>263</v>
      </c>
      <c r="G249" s="160" t="s">
        <v>263</v>
      </c>
      <c r="H249" s="160" t="s">
        <v>263</v>
      </c>
      <c r="I249" s="160" t="s">
        <v>263</v>
      </c>
      <c r="J249" s="160" t="s">
        <v>263</v>
      </c>
      <c r="K249" s="160" t="s">
        <v>263</v>
      </c>
      <c r="L249" s="322" t="s">
        <v>225</v>
      </c>
    </row>
    <row r="250" spans="1:12" x14ac:dyDescent="0.2">
      <c r="A250" s="343"/>
      <c r="B250" s="343"/>
      <c r="C250" s="343"/>
      <c r="D250" s="343"/>
      <c r="E250" s="160" t="s">
        <v>125</v>
      </c>
      <c r="F250" s="160">
        <v>344</v>
      </c>
      <c r="G250" s="160">
        <v>256</v>
      </c>
      <c r="H250" s="160">
        <v>714</v>
      </c>
      <c r="I250" s="160">
        <v>423</v>
      </c>
      <c r="J250" s="160">
        <v>728</v>
      </c>
      <c r="K250" s="160">
        <v>513</v>
      </c>
      <c r="L250" s="322"/>
    </row>
    <row r="251" spans="1:12" x14ac:dyDescent="0.2">
      <c r="A251" s="342" t="s">
        <v>1409</v>
      </c>
      <c r="B251" s="342" t="s">
        <v>4</v>
      </c>
      <c r="C251" s="342" t="str">
        <f t="shared" ref="C251" si="0">$C$249</f>
        <v>Agency selected</v>
      </c>
      <c r="D251" s="342" t="str">
        <f>'[12]Performance Measures'!$D$81</f>
        <v>Jan - Dec</v>
      </c>
      <c r="E251" s="160" t="s">
        <v>124</v>
      </c>
      <c r="F251" s="160" t="s">
        <v>263</v>
      </c>
      <c r="G251" s="160" t="s">
        <v>263</v>
      </c>
      <c r="H251" s="160" t="s">
        <v>263</v>
      </c>
      <c r="I251" s="160" t="s">
        <v>263</v>
      </c>
      <c r="J251" s="160" t="s">
        <v>263</v>
      </c>
      <c r="K251" s="160" t="s">
        <v>263</v>
      </c>
      <c r="L251" s="322" t="s">
        <v>1410</v>
      </c>
    </row>
    <row r="252" spans="1:12" ht="13.9" customHeight="1" x14ac:dyDescent="0.2">
      <c r="A252" s="343"/>
      <c r="B252" s="343"/>
      <c r="C252" s="343"/>
      <c r="D252" s="343"/>
      <c r="E252" s="160" t="s">
        <v>125</v>
      </c>
      <c r="F252" s="160" t="s">
        <v>263</v>
      </c>
      <c r="G252" s="160" t="s">
        <v>263</v>
      </c>
      <c r="H252" s="160" t="s">
        <v>263</v>
      </c>
      <c r="I252" s="160" t="s">
        <v>263</v>
      </c>
      <c r="J252" s="160" t="s">
        <v>263</v>
      </c>
      <c r="K252" s="160" t="s">
        <v>263</v>
      </c>
      <c r="L252" s="322"/>
    </row>
    <row r="253" spans="1:12" x14ac:dyDescent="0.2">
      <c r="A253" s="342" t="s">
        <v>1411</v>
      </c>
      <c r="B253" s="342" t="s">
        <v>4</v>
      </c>
      <c r="C253" s="342" t="str">
        <f t="shared" ref="C253" si="1">$C$249</f>
        <v>Agency selected</v>
      </c>
      <c r="D253" s="342" t="str">
        <f>'[12]Performance Measures'!$D$82</f>
        <v>July -June</v>
      </c>
      <c r="E253" s="160" t="s">
        <v>124</v>
      </c>
      <c r="F253" s="160" t="s">
        <v>263</v>
      </c>
      <c r="G253" s="160" t="s">
        <v>263</v>
      </c>
      <c r="H253" s="160" t="s">
        <v>263</v>
      </c>
      <c r="I253" s="160" t="s">
        <v>263</v>
      </c>
      <c r="J253" s="160" t="s">
        <v>263</v>
      </c>
      <c r="K253" s="160" t="s">
        <v>263</v>
      </c>
      <c r="L253" s="322" t="s">
        <v>225</v>
      </c>
    </row>
    <row r="254" spans="1:12" ht="15.75" customHeight="1" x14ac:dyDescent="0.2">
      <c r="A254" s="343"/>
      <c r="B254" s="343"/>
      <c r="C254" s="343"/>
      <c r="D254" s="343"/>
      <c r="E254" s="160" t="s">
        <v>125</v>
      </c>
      <c r="F254" s="160">
        <v>14</v>
      </c>
      <c r="G254" s="160">
        <v>17</v>
      </c>
      <c r="H254" s="160">
        <v>25</v>
      </c>
      <c r="I254" s="160">
        <v>17</v>
      </c>
      <c r="J254" s="160">
        <v>14</v>
      </c>
      <c r="K254" s="160">
        <v>20</v>
      </c>
      <c r="L254" s="322"/>
    </row>
    <row r="255" spans="1:12" x14ac:dyDescent="0.2">
      <c r="A255" s="342" t="s">
        <v>1412</v>
      </c>
      <c r="B255" s="342" t="s">
        <v>4</v>
      </c>
      <c r="C255" s="342" t="str">
        <f t="shared" ref="C255" si="2">$C$249</f>
        <v>Agency selected</v>
      </c>
      <c r="D255" s="342" t="str">
        <f t="shared" ref="D255" si="3">$D$253</f>
        <v>July -June</v>
      </c>
      <c r="E255" s="160" t="s">
        <v>124</v>
      </c>
      <c r="F255" s="160" t="s">
        <v>263</v>
      </c>
      <c r="G255" s="160" t="s">
        <v>263</v>
      </c>
      <c r="H255" s="160" t="s">
        <v>263</v>
      </c>
      <c r="I255" s="160" t="s">
        <v>263</v>
      </c>
      <c r="J255" s="160" t="s">
        <v>263</v>
      </c>
      <c r="K255" s="160" t="s">
        <v>263</v>
      </c>
      <c r="L255" s="322" t="s">
        <v>225</v>
      </c>
    </row>
    <row r="256" spans="1:12" ht="13.9" customHeight="1" x14ac:dyDescent="0.2">
      <c r="A256" s="343"/>
      <c r="B256" s="343"/>
      <c r="C256" s="343"/>
      <c r="D256" s="343"/>
      <c r="E256" s="160" t="s">
        <v>125</v>
      </c>
      <c r="F256" s="160">
        <v>14</v>
      </c>
      <c r="G256" s="160">
        <v>17</v>
      </c>
      <c r="H256" s="160">
        <v>25</v>
      </c>
      <c r="I256" s="160">
        <v>17</v>
      </c>
      <c r="J256" s="160">
        <v>14</v>
      </c>
      <c r="K256" s="160">
        <v>20</v>
      </c>
      <c r="L256" s="322"/>
    </row>
    <row r="257" spans="1:12" x14ac:dyDescent="0.2">
      <c r="A257" s="342" t="str">
        <f>'[12]Performance Measures'!$A$84</f>
        <v>Oversee the scheduling and handling of administrative hearings.</v>
      </c>
      <c r="B257" s="342" t="s">
        <v>4</v>
      </c>
      <c r="C257" s="342" t="str">
        <f t="shared" ref="C257" si="4">$C$249</f>
        <v>Agency selected</v>
      </c>
      <c r="D257" s="342" t="str">
        <f t="shared" ref="D257" si="5">$D$253</f>
        <v>July -June</v>
      </c>
      <c r="E257" s="160" t="s">
        <v>124</v>
      </c>
      <c r="F257" s="160" t="s">
        <v>263</v>
      </c>
      <c r="G257" s="160" t="s">
        <v>263</v>
      </c>
      <c r="H257" s="160" t="s">
        <v>263</v>
      </c>
      <c r="I257" s="160" t="s">
        <v>263</v>
      </c>
      <c r="J257" s="160" t="s">
        <v>263</v>
      </c>
      <c r="K257" s="160" t="s">
        <v>263</v>
      </c>
      <c r="L257" s="322" t="s">
        <v>225</v>
      </c>
    </row>
    <row r="258" spans="1:12" x14ac:dyDescent="0.2">
      <c r="A258" s="343"/>
      <c r="B258" s="343"/>
      <c r="C258" s="343"/>
      <c r="D258" s="343"/>
      <c r="E258" s="160" t="s">
        <v>125</v>
      </c>
      <c r="F258" s="160">
        <v>14</v>
      </c>
      <c r="G258" s="160">
        <v>17</v>
      </c>
      <c r="H258" s="160">
        <v>25</v>
      </c>
      <c r="I258" s="160">
        <v>17</v>
      </c>
      <c r="J258" s="160">
        <v>17</v>
      </c>
      <c r="K258" s="160">
        <v>20</v>
      </c>
      <c r="L258" s="322"/>
    </row>
    <row r="259" spans="1:12" x14ac:dyDescent="0.2">
      <c r="A259" s="342" t="str">
        <f>'[12]Performance Measures'!$A$85</f>
        <v>Attend legislative hearings.</v>
      </c>
      <c r="B259" s="342" t="str">
        <f t="shared" ref="B259" si="6">$B$249</f>
        <v>Output Measure</v>
      </c>
      <c r="C259" s="342" t="str">
        <f t="shared" ref="C259" si="7">$C$249</f>
        <v>Agency selected</v>
      </c>
      <c r="D259" s="342" t="str">
        <f t="shared" ref="D259" si="8">$D$253</f>
        <v>July -June</v>
      </c>
      <c r="E259" s="160" t="s">
        <v>124</v>
      </c>
      <c r="F259" s="160" t="s">
        <v>263</v>
      </c>
      <c r="G259" s="160" t="s">
        <v>263</v>
      </c>
      <c r="H259" s="160" t="s">
        <v>263</v>
      </c>
      <c r="I259" s="160" t="s">
        <v>263</v>
      </c>
      <c r="J259" s="160" t="s">
        <v>263</v>
      </c>
      <c r="K259" s="160" t="s">
        <v>263</v>
      </c>
      <c r="L259" s="322" t="str">
        <f>'[12]Performance Measures'!$L$81</f>
        <v>Consider using in future</v>
      </c>
    </row>
    <row r="260" spans="1:12" ht="13.9" customHeight="1" x14ac:dyDescent="0.2">
      <c r="A260" s="343"/>
      <c r="B260" s="343"/>
      <c r="C260" s="343"/>
      <c r="D260" s="343"/>
      <c r="E260" s="160" t="s">
        <v>125</v>
      </c>
      <c r="F260" s="160" t="s">
        <v>263</v>
      </c>
      <c r="G260" s="160" t="s">
        <v>263</v>
      </c>
      <c r="H260" s="160" t="s">
        <v>263</v>
      </c>
      <c r="I260" s="160" t="s">
        <v>263</v>
      </c>
      <c r="J260" s="160" t="s">
        <v>263</v>
      </c>
      <c r="K260" s="160" t="s">
        <v>263</v>
      </c>
      <c r="L260" s="322"/>
    </row>
    <row r="261" spans="1:12" x14ac:dyDescent="0.2">
      <c r="A261" s="342" t="str">
        <f>'[12]Performance Measures'!$A$86</f>
        <v>Report on the status of legislation and regulations to the boards.</v>
      </c>
      <c r="B261" s="342" t="str">
        <f t="shared" ref="B261" si="9">$B$249</f>
        <v>Output Measure</v>
      </c>
      <c r="C261" s="342" t="str">
        <f t="shared" ref="C261" si="10">$C$249</f>
        <v>Agency selected</v>
      </c>
      <c r="D261" s="342" t="str">
        <f t="shared" ref="D261" si="11">$D$253</f>
        <v>July -June</v>
      </c>
      <c r="E261" s="160" t="s">
        <v>124</v>
      </c>
      <c r="F261" s="160" t="s">
        <v>263</v>
      </c>
      <c r="G261" s="160" t="s">
        <v>263</v>
      </c>
      <c r="H261" s="160" t="s">
        <v>263</v>
      </c>
      <c r="I261" s="160" t="s">
        <v>263</v>
      </c>
      <c r="J261" s="160" t="s">
        <v>263</v>
      </c>
      <c r="K261" s="160" t="s">
        <v>263</v>
      </c>
      <c r="L261" s="322" t="str">
        <f>'[12]Performance Measures'!$L$81</f>
        <v>Consider using in future</v>
      </c>
    </row>
    <row r="262" spans="1:12" x14ac:dyDescent="0.2">
      <c r="A262" s="343"/>
      <c r="B262" s="343"/>
      <c r="C262" s="343"/>
      <c r="D262" s="343"/>
      <c r="E262" s="160" t="s">
        <v>125</v>
      </c>
      <c r="F262" s="160" t="s">
        <v>263</v>
      </c>
      <c r="G262" s="160" t="s">
        <v>263</v>
      </c>
      <c r="H262" s="160" t="s">
        <v>263</v>
      </c>
      <c r="I262" s="160" t="s">
        <v>263</v>
      </c>
      <c r="J262" s="160" t="s">
        <v>263</v>
      </c>
      <c r="K262" s="160" t="s">
        <v>263</v>
      </c>
      <c r="L262" s="322"/>
    </row>
    <row r="263" spans="1:12" x14ac:dyDescent="0.2">
      <c r="A263" s="342" t="str">
        <f>'[12]Performance Measures'!$A$87</f>
        <v>Weekly legislative updates to boards.</v>
      </c>
      <c r="B263" s="342" t="str">
        <f t="shared" ref="B263" si="12">$B$249</f>
        <v>Output Measure</v>
      </c>
      <c r="C263" s="342" t="str">
        <f t="shared" ref="C263" si="13">$C$249</f>
        <v>Agency selected</v>
      </c>
      <c r="D263" s="342" t="str">
        <f t="shared" ref="D263" si="14">$D$253</f>
        <v>July -June</v>
      </c>
      <c r="E263" s="160" t="s">
        <v>124</v>
      </c>
      <c r="F263" s="160">
        <v>18</v>
      </c>
      <c r="G263" s="160">
        <v>22</v>
      </c>
      <c r="H263" s="160">
        <v>17</v>
      </c>
      <c r="I263" s="160">
        <v>21</v>
      </c>
      <c r="J263" s="160">
        <v>18</v>
      </c>
      <c r="K263" s="160">
        <v>18</v>
      </c>
      <c r="L263" s="322" t="s">
        <v>225</v>
      </c>
    </row>
    <row r="264" spans="1:12" x14ac:dyDescent="0.2">
      <c r="A264" s="343"/>
      <c r="B264" s="343"/>
      <c r="C264" s="343"/>
      <c r="D264" s="343"/>
      <c r="E264" s="160" t="s">
        <v>125</v>
      </c>
      <c r="F264" s="160">
        <v>18</v>
      </c>
      <c r="G264" s="160">
        <v>22</v>
      </c>
      <c r="H264" s="160">
        <v>17</v>
      </c>
      <c r="I264" s="160">
        <v>21</v>
      </c>
      <c r="J264" s="160">
        <v>18</v>
      </c>
      <c r="K264" s="160">
        <v>18</v>
      </c>
      <c r="L264" s="322"/>
    </row>
    <row r="265" spans="1:12" x14ac:dyDescent="0.2">
      <c r="A265" s="342" t="str">
        <f>'[12]Performance Measures'!$A$88</f>
        <v>Weekly notifications to boards of legislative hearings.</v>
      </c>
      <c r="B265" s="342" t="str">
        <f t="shared" ref="B265" si="15">$B$249</f>
        <v>Output Measure</v>
      </c>
      <c r="C265" s="342" t="str">
        <f t="shared" ref="C265" si="16">$C$249</f>
        <v>Agency selected</v>
      </c>
      <c r="D265" s="342" t="str">
        <f t="shared" ref="D265" si="17">$D$253</f>
        <v>July -June</v>
      </c>
      <c r="E265" s="160" t="s">
        <v>124</v>
      </c>
      <c r="F265" s="160">
        <v>18</v>
      </c>
      <c r="G265" s="160">
        <v>22</v>
      </c>
      <c r="H265" s="160">
        <v>17</v>
      </c>
      <c r="I265" s="160">
        <v>21</v>
      </c>
      <c r="J265" s="160">
        <v>18</v>
      </c>
      <c r="K265" s="160">
        <v>18</v>
      </c>
      <c r="L265" s="322" t="s">
        <v>225</v>
      </c>
    </row>
    <row r="266" spans="1:12" x14ac:dyDescent="0.2">
      <c r="A266" s="343"/>
      <c r="B266" s="343"/>
      <c r="C266" s="343"/>
      <c r="D266" s="343"/>
      <c r="E266" s="160" t="s">
        <v>125</v>
      </c>
      <c r="F266" s="160">
        <v>18</v>
      </c>
      <c r="G266" s="160">
        <v>22</v>
      </c>
      <c r="H266" s="160">
        <v>17</v>
      </c>
      <c r="I266" s="160">
        <v>3</v>
      </c>
      <c r="J266" s="160">
        <v>4</v>
      </c>
      <c r="K266" s="160">
        <v>13</v>
      </c>
      <c r="L266" s="322"/>
    </row>
    <row r="267" spans="1:12" x14ac:dyDescent="0.2">
      <c r="A267" s="342" t="str">
        <f>'[12]Performance Measures'!$A$89</f>
        <v>Annual summary of legislative and regulatory changes.</v>
      </c>
      <c r="B267" s="342" t="str">
        <f t="shared" ref="B267" si="18">$B$249</f>
        <v>Output Measure</v>
      </c>
      <c r="C267" s="342" t="str">
        <f t="shared" ref="C267" si="19">$C$249</f>
        <v>Agency selected</v>
      </c>
      <c r="D267" s="342" t="str">
        <f t="shared" ref="D267" si="20">$D$253</f>
        <v>July -June</v>
      </c>
      <c r="E267" s="160" t="s">
        <v>124</v>
      </c>
      <c r="F267" s="160">
        <v>1</v>
      </c>
      <c r="G267" s="160">
        <v>1</v>
      </c>
      <c r="H267" s="160">
        <v>1</v>
      </c>
      <c r="I267" s="160">
        <v>1</v>
      </c>
      <c r="J267" s="160">
        <v>1</v>
      </c>
      <c r="K267" s="160">
        <v>1</v>
      </c>
      <c r="L267" s="322" t="s">
        <v>225</v>
      </c>
    </row>
    <row r="268" spans="1:12" ht="12.75" customHeight="1" x14ac:dyDescent="0.2">
      <c r="A268" s="343"/>
      <c r="B268" s="343"/>
      <c r="C268" s="343"/>
      <c r="D268" s="343"/>
      <c r="E268" s="160" t="s">
        <v>125</v>
      </c>
      <c r="F268" s="160">
        <v>1</v>
      </c>
      <c r="G268" s="160">
        <v>1</v>
      </c>
      <c r="H268" s="160">
        <v>1</v>
      </c>
      <c r="I268" s="160">
        <v>1</v>
      </c>
      <c r="J268" s="160">
        <v>1</v>
      </c>
      <c r="K268" s="160">
        <v>0</v>
      </c>
      <c r="L268" s="322"/>
    </row>
    <row r="269" spans="1:12" x14ac:dyDescent="0.2">
      <c r="A269" s="342" t="s">
        <v>1403</v>
      </c>
      <c r="B269" s="342" t="s">
        <v>4</v>
      </c>
      <c r="C269" s="342" t="s">
        <v>1329</v>
      </c>
      <c r="D269" s="342" t="s">
        <v>1404</v>
      </c>
      <c r="E269" s="160" t="s">
        <v>124</v>
      </c>
      <c r="F269" s="160" t="s">
        <v>263</v>
      </c>
      <c r="G269" s="160" t="s">
        <v>263</v>
      </c>
      <c r="H269" s="160" t="s">
        <v>263</v>
      </c>
      <c r="I269" s="160" t="s">
        <v>263</v>
      </c>
      <c r="J269" s="160" t="s">
        <v>263</v>
      </c>
      <c r="K269" s="160" t="s">
        <v>263</v>
      </c>
      <c r="L269" s="344" t="s">
        <v>225</v>
      </c>
    </row>
    <row r="270" spans="1:12" ht="12.75" customHeight="1" x14ac:dyDescent="0.2">
      <c r="A270" s="343"/>
      <c r="B270" s="343"/>
      <c r="C270" s="343"/>
      <c r="D270" s="343"/>
      <c r="E270" s="160" t="s">
        <v>125</v>
      </c>
      <c r="F270" s="160">
        <v>816</v>
      </c>
      <c r="G270" s="160">
        <v>940</v>
      </c>
      <c r="H270" s="160">
        <v>1024</v>
      </c>
      <c r="I270" s="160">
        <v>1039</v>
      </c>
      <c r="J270" s="160">
        <v>1094</v>
      </c>
      <c r="K270" s="160">
        <v>307</v>
      </c>
      <c r="L270" s="344"/>
    </row>
    <row r="271" spans="1:12" x14ac:dyDescent="0.2">
      <c r="A271" s="342" t="s">
        <v>1407</v>
      </c>
      <c r="B271" s="342" t="s">
        <v>4</v>
      </c>
      <c r="C271" s="342" t="s">
        <v>1120</v>
      </c>
      <c r="D271" s="342" t="s">
        <v>1404</v>
      </c>
      <c r="E271" s="160" t="s">
        <v>124</v>
      </c>
      <c r="F271" s="160" t="s">
        <v>263</v>
      </c>
      <c r="G271" s="160" t="s">
        <v>263</v>
      </c>
      <c r="H271" s="160" t="s">
        <v>263</v>
      </c>
      <c r="I271" s="160" t="s">
        <v>263</v>
      </c>
      <c r="J271" s="160" t="s">
        <v>263</v>
      </c>
      <c r="K271" s="160" t="s">
        <v>263</v>
      </c>
      <c r="L271" s="344" t="s">
        <v>225</v>
      </c>
    </row>
    <row r="272" spans="1:12" x14ac:dyDescent="0.2">
      <c r="A272" s="343"/>
      <c r="B272" s="343"/>
      <c r="C272" s="343"/>
      <c r="D272" s="343"/>
      <c r="E272" s="160" t="s">
        <v>125</v>
      </c>
      <c r="F272" s="160">
        <v>157</v>
      </c>
      <c r="G272" s="160">
        <v>230</v>
      </c>
      <c r="H272" s="160">
        <v>196</v>
      </c>
      <c r="I272" s="160">
        <v>455</v>
      </c>
      <c r="J272" s="160">
        <v>503</v>
      </c>
      <c r="K272" s="160">
        <v>147</v>
      </c>
      <c r="L272" s="344"/>
    </row>
    <row r="274" ht="12.75" customHeight="1" x14ac:dyDescent="0.2"/>
  </sheetData>
  <mergeCells count="705">
    <mergeCell ref="A237:A238"/>
    <mergeCell ref="B237:B238"/>
    <mergeCell ref="C237:C238"/>
    <mergeCell ref="D237:D238"/>
    <mergeCell ref="L237:L238"/>
    <mergeCell ref="A233:A234"/>
    <mergeCell ref="B233:B234"/>
    <mergeCell ref="C233:C234"/>
    <mergeCell ref="D233:D234"/>
    <mergeCell ref="L233:L234"/>
    <mergeCell ref="A235:A236"/>
    <mergeCell ref="B235:B236"/>
    <mergeCell ref="C235:C236"/>
    <mergeCell ref="D235:D236"/>
    <mergeCell ref="L235:L236"/>
    <mergeCell ref="M74:M75"/>
    <mergeCell ref="A71:A72"/>
    <mergeCell ref="M80:M81"/>
    <mergeCell ref="A229:A230"/>
    <mergeCell ref="B229:B230"/>
    <mergeCell ref="C229:C230"/>
    <mergeCell ref="D229:D230"/>
    <mergeCell ref="L229:L230"/>
    <mergeCell ref="A231:A232"/>
    <mergeCell ref="B231:B232"/>
    <mergeCell ref="C231:C232"/>
    <mergeCell ref="D231:D232"/>
    <mergeCell ref="L231:L232"/>
    <mergeCell ref="A99:A100"/>
    <mergeCell ref="B99:B100"/>
    <mergeCell ref="C99:C100"/>
    <mergeCell ref="D99:D100"/>
    <mergeCell ref="L99:L100"/>
    <mergeCell ref="A101:A102"/>
    <mergeCell ref="B101:B102"/>
    <mergeCell ref="C101:C102"/>
    <mergeCell ref="D101:D102"/>
    <mergeCell ref="L101:L102"/>
    <mergeCell ref="A103:A104"/>
    <mergeCell ref="M50:M51"/>
    <mergeCell ref="M52:M53"/>
    <mergeCell ref="M54:M55"/>
    <mergeCell ref="A141:A142"/>
    <mergeCell ref="B141:B142"/>
    <mergeCell ref="C141:C142"/>
    <mergeCell ref="D141:D142"/>
    <mergeCell ref="L141:L142"/>
    <mergeCell ref="A143:A144"/>
    <mergeCell ref="B143:B144"/>
    <mergeCell ref="C143:C144"/>
    <mergeCell ref="D143:D144"/>
    <mergeCell ref="L143:L144"/>
    <mergeCell ref="M56:M57"/>
    <mergeCell ref="M62:M63"/>
    <mergeCell ref="M66:M67"/>
    <mergeCell ref="M64:M65"/>
    <mergeCell ref="M60:M61"/>
    <mergeCell ref="M58:M59"/>
    <mergeCell ref="M68:M69"/>
    <mergeCell ref="M76:M77"/>
    <mergeCell ref="M78:M79"/>
    <mergeCell ref="M70:M71"/>
    <mergeCell ref="M72:M73"/>
    <mergeCell ref="M42:M43"/>
    <mergeCell ref="M44:M45"/>
    <mergeCell ref="M46:M47"/>
    <mergeCell ref="A43:A44"/>
    <mergeCell ref="B43:B44"/>
    <mergeCell ref="C43:C44"/>
    <mergeCell ref="D43:D44"/>
    <mergeCell ref="L43:L44"/>
    <mergeCell ref="A45:A46"/>
    <mergeCell ref="B45:B46"/>
    <mergeCell ref="C45:C46"/>
    <mergeCell ref="D45:D46"/>
    <mergeCell ref="L45:L46"/>
    <mergeCell ref="A47:A48"/>
    <mergeCell ref="M48:M49"/>
    <mergeCell ref="A41:A42"/>
    <mergeCell ref="B41:B42"/>
    <mergeCell ref="C41:C42"/>
    <mergeCell ref="D41:D42"/>
    <mergeCell ref="L41:L42"/>
    <mergeCell ref="B47:B48"/>
    <mergeCell ref="C47:C48"/>
    <mergeCell ref="D47:D48"/>
    <mergeCell ref="L47:L48"/>
    <mergeCell ref="B2:D2"/>
    <mergeCell ref="B1:D1"/>
    <mergeCell ref="L93:L94"/>
    <mergeCell ref="A4:K4"/>
    <mergeCell ref="A93:A94"/>
    <mergeCell ref="B93:B94"/>
    <mergeCell ref="C93:C94"/>
    <mergeCell ref="D93:D94"/>
    <mergeCell ref="A97:A98"/>
    <mergeCell ref="B97:B98"/>
    <mergeCell ref="C97:C98"/>
    <mergeCell ref="D97:D98"/>
    <mergeCell ref="L97:L98"/>
    <mergeCell ref="A95:A96"/>
    <mergeCell ref="B95:B96"/>
    <mergeCell ref="C95:C96"/>
    <mergeCell ref="D95:D96"/>
    <mergeCell ref="L95:L96"/>
    <mergeCell ref="A7:A8"/>
    <mergeCell ref="B7:B8"/>
    <mergeCell ref="C7:C8"/>
    <mergeCell ref="D7:D8"/>
    <mergeCell ref="L7:L8"/>
    <mergeCell ref="A9:A10"/>
    <mergeCell ref="B103:B104"/>
    <mergeCell ref="C103:C104"/>
    <mergeCell ref="D103:D104"/>
    <mergeCell ref="L103:L104"/>
    <mergeCell ref="A105:A106"/>
    <mergeCell ref="B105:B106"/>
    <mergeCell ref="C105:C106"/>
    <mergeCell ref="D105:D106"/>
    <mergeCell ref="L105:L106"/>
    <mergeCell ref="A107:A108"/>
    <mergeCell ref="B107:B108"/>
    <mergeCell ref="C107:C108"/>
    <mergeCell ref="D107:D108"/>
    <mergeCell ref="L107:L108"/>
    <mergeCell ref="A109:A110"/>
    <mergeCell ref="B109:B110"/>
    <mergeCell ref="C109:C110"/>
    <mergeCell ref="D109:D110"/>
    <mergeCell ref="L109:L110"/>
    <mergeCell ref="A111:A112"/>
    <mergeCell ref="B111:B112"/>
    <mergeCell ref="C111:C112"/>
    <mergeCell ref="D111:D112"/>
    <mergeCell ref="L111:L112"/>
    <mergeCell ref="A113:A114"/>
    <mergeCell ref="B113:B114"/>
    <mergeCell ref="C113:C114"/>
    <mergeCell ref="D113:D114"/>
    <mergeCell ref="L113:L114"/>
    <mergeCell ref="M18:M19"/>
    <mergeCell ref="M20:M21"/>
    <mergeCell ref="M22:M23"/>
    <mergeCell ref="M24:M25"/>
    <mergeCell ref="M26:M27"/>
    <mergeCell ref="M7:M8"/>
    <mergeCell ref="M9:M10"/>
    <mergeCell ref="M11:M12"/>
    <mergeCell ref="M13:M15"/>
    <mergeCell ref="M16:M17"/>
    <mergeCell ref="A193:A194"/>
    <mergeCell ref="B193:B194"/>
    <mergeCell ref="C193:C194"/>
    <mergeCell ref="D193:D194"/>
    <mergeCell ref="L193:L194"/>
    <mergeCell ref="M38:M39"/>
    <mergeCell ref="M40:M41"/>
    <mergeCell ref="M28:M29"/>
    <mergeCell ref="M30:M31"/>
    <mergeCell ref="M32:M33"/>
    <mergeCell ref="M34:M35"/>
    <mergeCell ref="M36:M37"/>
    <mergeCell ref="A115:A116"/>
    <mergeCell ref="B115:B116"/>
    <mergeCell ref="C115:C116"/>
    <mergeCell ref="D115:D116"/>
    <mergeCell ref="L115:L116"/>
    <mergeCell ref="A117:A118"/>
    <mergeCell ref="B117:B118"/>
    <mergeCell ref="C117:C118"/>
    <mergeCell ref="D117:D118"/>
    <mergeCell ref="L117:L118"/>
    <mergeCell ref="A119:A120"/>
    <mergeCell ref="B119:B120"/>
    <mergeCell ref="A195:A196"/>
    <mergeCell ref="B195:B196"/>
    <mergeCell ref="C195:C196"/>
    <mergeCell ref="D195:D196"/>
    <mergeCell ref="L195:L196"/>
    <mergeCell ref="A197:A198"/>
    <mergeCell ref="B197:B198"/>
    <mergeCell ref="C197:C198"/>
    <mergeCell ref="D197:D198"/>
    <mergeCell ref="L197:L198"/>
    <mergeCell ref="A199:A200"/>
    <mergeCell ref="B199:B200"/>
    <mergeCell ref="C199:C200"/>
    <mergeCell ref="D199:D200"/>
    <mergeCell ref="L199:L200"/>
    <mergeCell ref="A201:A202"/>
    <mergeCell ref="B201:B202"/>
    <mergeCell ref="C201:C202"/>
    <mergeCell ref="D201:D202"/>
    <mergeCell ref="L201:L202"/>
    <mergeCell ref="A203:A204"/>
    <mergeCell ref="B203:B204"/>
    <mergeCell ref="C203:C204"/>
    <mergeCell ref="D203:D204"/>
    <mergeCell ref="L203:L204"/>
    <mergeCell ref="A205:A206"/>
    <mergeCell ref="B205:B206"/>
    <mergeCell ref="C205:C206"/>
    <mergeCell ref="D205:D206"/>
    <mergeCell ref="L205:L206"/>
    <mergeCell ref="A207:A208"/>
    <mergeCell ref="B207:B208"/>
    <mergeCell ref="C207:C208"/>
    <mergeCell ref="D207:D208"/>
    <mergeCell ref="L207:L208"/>
    <mergeCell ref="A209:A210"/>
    <mergeCell ref="B209:B210"/>
    <mergeCell ref="C209:C210"/>
    <mergeCell ref="D209:D210"/>
    <mergeCell ref="L209:L210"/>
    <mergeCell ref="A211:A212"/>
    <mergeCell ref="B211:B212"/>
    <mergeCell ref="C211:C212"/>
    <mergeCell ref="D211:D212"/>
    <mergeCell ref="L211:L212"/>
    <mergeCell ref="A213:A214"/>
    <mergeCell ref="B213:B214"/>
    <mergeCell ref="C213:C214"/>
    <mergeCell ref="D213:D214"/>
    <mergeCell ref="L213:L214"/>
    <mergeCell ref="A215:A216"/>
    <mergeCell ref="B215:B216"/>
    <mergeCell ref="C215:C216"/>
    <mergeCell ref="D215:D216"/>
    <mergeCell ref="L215:L216"/>
    <mergeCell ref="A217:A218"/>
    <mergeCell ref="B217:B218"/>
    <mergeCell ref="C217:C218"/>
    <mergeCell ref="D217:D218"/>
    <mergeCell ref="L217:L218"/>
    <mergeCell ref="A219:A220"/>
    <mergeCell ref="B219:B220"/>
    <mergeCell ref="C219:C220"/>
    <mergeCell ref="D219:D220"/>
    <mergeCell ref="L219:L220"/>
    <mergeCell ref="A221:A222"/>
    <mergeCell ref="B221:B222"/>
    <mergeCell ref="C221:C222"/>
    <mergeCell ref="D221:D222"/>
    <mergeCell ref="L221:L222"/>
    <mergeCell ref="B9:B10"/>
    <mergeCell ref="C9:C10"/>
    <mergeCell ref="D9:D10"/>
    <mergeCell ref="L9:L10"/>
    <mergeCell ref="A11:A12"/>
    <mergeCell ref="B11:B12"/>
    <mergeCell ref="C11:C12"/>
    <mergeCell ref="D11:D12"/>
    <mergeCell ref="L11:L12"/>
    <mergeCell ref="A13:A14"/>
    <mergeCell ref="B13:B14"/>
    <mergeCell ref="C13:C14"/>
    <mergeCell ref="D13:D14"/>
    <mergeCell ref="L13:L14"/>
    <mergeCell ref="A15:A16"/>
    <mergeCell ref="B15:B16"/>
    <mergeCell ref="C15:C16"/>
    <mergeCell ref="D15:D16"/>
    <mergeCell ref="L15:L16"/>
    <mergeCell ref="A17:A18"/>
    <mergeCell ref="B17:B18"/>
    <mergeCell ref="C17:C18"/>
    <mergeCell ref="D17:D18"/>
    <mergeCell ref="L17:L18"/>
    <mergeCell ref="A19:A20"/>
    <mergeCell ref="B19:B20"/>
    <mergeCell ref="C19:C20"/>
    <mergeCell ref="D19:D20"/>
    <mergeCell ref="L19:L20"/>
    <mergeCell ref="A21:A22"/>
    <mergeCell ref="B21:B22"/>
    <mergeCell ref="C21:C22"/>
    <mergeCell ref="D21:D22"/>
    <mergeCell ref="L21:L22"/>
    <mergeCell ref="A23:A24"/>
    <mergeCell ref="B23:B24"/>
    <mergeCell ref="C23:C24"/>
    <mergeCell ref="D23:D24"/>
    <mergeCell ref="L23:L24"/>
    <mergeCell ref="A25:A26"/>
    <mergeCell ref="B25:B26"/>
    <mergeCell ref="C25:C26"/>
    <mergeCell ref="D25:D26"/>
    <mergeCell ref="L25:L26"/>
    <mergeCell ref="A27:A28"/>
    <mergeCell ref="B27:B28"/>
    <mergeCell ref="C27:C28"/>
    <mergeCell ref="D27:D28"/>
    <mergeCell ref="L27:L28"/>
    <mergeCell ref="A29:A30"/>
    <mergeCell ref="B29:B30"/>
    <mergeCell ref="C29:C30"/>
    <mergeCell ref="D29:D30"/>
    <mergeCell ref="L29:L30"/>
    <mergeCell ref="A31:A32"/>
    <mergeCell ref="B31:B32"/>
    <mergeCell ref="C31:C32"/>
    <mergeCell ref="D31:D32"/>
    <mergeCell ref="L31:L32"/>
    <mergeCell ref="A33:A34"/>
    <mergeCell ref="B33:B34"/>
    <mergeCell ref="C33:C34"/>
    <mergeCell ref="D33:D34"/>
    <mergeCell ref="L33:L34"/>
    <mergeCell ref="A35:A36"/>
    <mergeCell ref="B35:B36"/>
    <mergeCell ref="C35:C36"/>
    <mergeCell ref="D35:D36"/>
    <mergeCell ref="L35:L36"/>
    <mergeCell ref="A37:A38"/>
    <mergeCell ref="B37:B38"/>
    <mergeCell ref="C37:C38"/>
    <mergeCell ref="D37:D38"/>
    <mergeCell ref="L37:L38"/>
    <mergeCell ref="A39:A40"/>
    <mergeCell ref="B39:B40"/>
    <mergeCell ref="C39:C40"/>
    <mergeCell ref="D39:D40"/>
    <mergeCell ref="L39:L40"/>
    <mergeCell ref="A49:A50"/>
    <mergeCell ref="B49:B50"/>
    <mergeCell ref="C49:C50"/>
    <mergeCell ref="D49:D50"/>
    <mergeCell ref="L49:L50"/>
    <mergeCell ref="A51:A52"/>
    <mergeCell ref="B51:B52"/>
    <mergeCell ref="C51:C52"/>
    <mergeCell ref="D51:D52"/>
    <mergeCell ref="L51:L52"/>
    <mergeCell ref="A53:A54"/>
    <mergeCell ref="B53:B54"/>
    <mergeCell ref="C53:C54"/>
    <mergeCell ref="D53:D54"/>
    <mergeCell ref="L53:L54"/>
    <mergeCell ref="A55:A56"/>
    <mergeCell ref="B55:B56"/>
    <mergeCell ref="C55:C56"/>
    <mergeCell ref="D55:D56"/>
    <mergeCell ref="L55:L56"/>
    <mergeCell ref="A57:A58"/>
    <mergeCell ref="B57:B58"/>
    <mergeCell ref="C57:C58"/>
    <mergeCell ref="D57:D58"/>
    <mergeCell ref="L57:L58"/>
    <mergeCell ref="A59:A60"/>
    <mergeCell ref="B59:B60"/>
    <mergeCell ref="C59:C60"/>
    <mergeCell ref="D59:D60"/>
    <mergeCell ref="L59:L60"/>
    <mergeCell ref="A61:A62"/>
    <mergeCell ref="B61:B62"/>
    <mergeCell ref="C61:C62"/>
    <mergeCell ref="D61:D62"/>
    <mergeCell ref="L61:L62"/>
    <mergeCell ref="A63:A64"/>
    <mergeCell ref="B63:B64"/>
    <mergeCell ref="C63:C64"/>
    <mergeCell ref="D63:D64"/>
    <mergeCell ref="L63:L64"/>
    <mergeCell ref="A65:A66"/>
    <mergeCell ref="B65:B66"/>
    <mergeCell ref="C65:C66"/>
    <mergeCell ref="D65:D66"/>
    <mergeCell ref="L65:L66"/>
    <mergeCell ref="A67:A68"/>
    <mergeCell ref="B67:B68"/>
    <mergeCell ref="C67:C68"/>
    <mergeCell ref="D67:D68"/>
    <mergeCell ref="L67:L68"/>
    <mergeCell ref="A69:A70"/>
    <mergeCell ref="B69:B70"/>
    <mergeCell ref="C69:C70"/>
    <mergeCell ref="D69:D70"/>
    <mergeCell ref="L69:L70"/>
    <mergeCell ref="B71:B72"/>
    <mergeCell ref="C71:C72"/>
    <mergeCell ref="D71:D72"/>
    <mergeCell ref="L71:L72"/>
    <mergeCell ref="A73:A74"/>
    <mergeCell ref="B73:B74"/>
    <mergeCell ref="C73:C74"/>
    <mergeCell ref="D73:D74"/>
    <mergeCell ref="L73:L74"/>
    <mergeCell ref="A75:A76"/>
    <mergeCell ref="B75:B76"/>
    <mergeCell ref="C75:C76"/>
    <mergeCell ref="D75:D76"/>
    <mergeCell ref="L75:L76"/>
    <mergeCell ref="A77:A78"/>
    <mergeCell ref="B77:B78"/>
    <mergeCell ref="C77:C78"/>
    <mergeCell ref="D77:D78"/>
    <mergeCell ref="L77:L78"/>
    <mergeCell ref="A79:A80"/>
    <mergeCell ref="B79:B80"/>
    <mergeCell ref="C79:C80"/>
    <mergeCell ref="D79:D80"/>
    <mergeCell ref="L79:L80"/>
    <mergeCell ref="A81:A82"/>
    <mergeCell ref="B81:B82"/>
    <mergeCell ref="C81:C82"/>
    <mergeCell ref="D81:D82"/>
    <mergeCell ref="L81:L82"/>
    <mergeCell ref="A83:A84"/>
    <mergeCell ref="B83:B84"/>
    <mergeCell ref="C83:C84"/>
    <mergeCell ref="D83:D84"/>
    <mergeCell ref="L83:L84"/>
    <mergeCell ref="A85:A86"/>
    <mergeCell ref="B85:B86"/>
    <mergeCell ref="C85:C86"/>
    <mergeCell ref="D85:D86"/>
    <mergeCell ref="L85:L86"/>
    <mergeCell ref="A91:A92"/>
    <mergeCell ref="B91:B92"/>
    <mergeCell ref="C91:C92"/>
    <mergeCell ref="D91:D92"/>
    <mergeCell ref="L91:L92"/>
    <mergeCell ref="A87:A88"/>
    <mergeCell ref="B87:B88"/>
    <mergeCell ref="C87:C88"/>
    <mergeCell ref="D87:D88"/>
    <mergeCell ref="L87:L88"/>
    <mergeCell ref="A89:A90"/>
    <mergeCell ref="B89:B90"/>
    <mergeCell ref="C89:C90"/>
    <mergeCell ref="D89:D90"/>
    <mergeCell ref="L89:L90"/>
    <mergeCell ref="A253:A254"/>
    <mergeCell ref="B253:B254"/>
    <mergeCell ref="C253:C254"/>
    <mergeCell ref="D253:D254"/>
    <mergeCell ref="L253:L254"/>
    <mergeCell ref="A255:A256"/>
    <mergeCell ref="B255:B256"/>
    <mergeCell ref="C255:C256"/>
    <mergeCell ref="D255:D256"/>
    <mergeCell ref="L255:L256"/>
    <mergeCell ref="D119:D120"/>
    <mergeCell ref="L119:L120"/>
    <mergeCell ref="A121:A122"/>
    <mergeCell ref="B121:B122"/>
    <mergeCell ref="C121:C122"/>
    <mergeCell ref="D121:D122"/>
    <mergeCell ref="L121:L122"/>
    <mergeCell ref="A123:A124"/>
    <mergeCell ref="B123:B124"/>
    <mergeCell ref="C123:C124"/>
    <mergeCell ref="D123:D124"/>
    <mergeCell ref="L123:L124"/>
    <mergeCell ref="C119:C120"/>
    <mergeCell ref="A125:A126"/>
    <mergeCell ref="B125:B126"/>
    <mergeCell ref="C125:C126"/>
    <mergeCell ref="D125:D126"/>
    <mergeCell ref="L125:L126"/>
    <mergeCell ref="A127:A128"/>
    <mergeCell ref="B127:B128"/>
    <mergeCell ref="C127:C128"/>
    <mergeCell ref="D127:D128"/>
    <mergeCell ref="L127:L128"/>
    <mergeCell ref="A129:A130"/>
    <mergeCell ref="B129:B130"/>
    <mergeCell ref="C129:C130"/>
    <mergeCell ref="D129:D130"/>
    <mergeCell ref="L129:L130"/>
    <mergeCell ref="A131:A132"/>
    <mergeCell ref="B131:B132"/>
    <mergeCell ref="C131:C132"/>
    <mergeCell ref="D131:D132"/>
    <mergeCell ref="L131:L132"/>
    <mergeCell ref="A133:A134"/>
    <mergeCell ref="B133:B134"/>
    <mergeCell ref="C133:C134"/>
    <mergeCell ref="D133:D134"/>
    <mergeCell ref="L133:L134"/>
    <mergeCell ref="A135:A136"/>
    <mergeCell ref="B135:B136"/>
    <mergeCell ref="C135:C136"/>
    <mergeCell ref="D135:D136"/>
    <mergeCell ref="L135:L136"/>
    <mergeCell ref="A137:A138"/>
    <mergeCell ref="B137:B138"/>
    <mergeCell ref="C137:C138"/>
    <mergeCell ref="D137:D138"/>
    <mergeCell ref="L137:L138"/>
    <mergeCell ref="A139:A140"/>
    <mergeCell ref="B139:B140"/>
    <mergeCell ref="C139:C140"/>
    <mergeCell ref="D139:D140"/>
    <mergeCell ref="L139:L140"/>
    <mergeCell ref="A145:A146"/>
    <mergeCell ref="B145:B146"/>
    <mergeCell ref="C145:C146"/>
    <mergeCell ref="D145:D146"/>
    <mergeCell ref="L145:L146"/>
    <mergeCell ref="A147:A148"/>
    <mergeCell ref="B147:B148"/>
    <mergeCell ref="C147:C148"/>
    <mergeCell ref="D147:D148"/>
    <mergeCell ref="L147:L148"/>
    <mergeCell ref="A149:A150"/>
    <mergeCell ref="B149:B150"/>
    <mergeCell ref="C149:C150"/>
    <mergeCell ref="D149:D150"/>
    <mergeCell ref="L149:L150"/>
    <mergeCell ref="A151:A152"/>
    <mergeCell ref="B151:B152"/>
    <mergeCell ref="C151:C152"/>
    <mergeCell ref="D151:D152"/>
    <mergeCell ref="L151:L152"/>
    <mergeCell ref="A153:A154"/>
    <mergeCell ref="B153:B154"/>
    <mergeCell ref="C153:C154"/>
    <mergeCell ref="D153:D154"/>
    <mergeCell ref="L153:L154"/>
    <mergeCell ref="A155:A156"/>
    <mergeCell ref="B155:B156"/>
    <mergeCell ref="C155:C156"/>
    <mergeCell ref="D155:D156"/>
    <mergeCell ref="L155:L156"/>
    <mergeCell ref="A157:A158"/>
    <mergeCell ref="B157:B158"/>
    <mergeCell ref="C157:C158"/>
    <mergeCell ref="D157:D158"/>
    <mergeCell ref="L157:L158"/>
    <mergeCell ref="A159:A160"/>
    <mergeCell ref="B159:B160"/>
    <mergeCell ref="C159:C160"/>
    <mergeCell ref="D159:D160"/>
    <mergeCell ref="L159:L160"/>
    <mergeCell ref="A161:A162"/>
    <mergeCell ref="B161:B162"/>
    <mergeCell ref="C161:C162"/>
    <mergeCell ref="D161:D162"/>
    <mergeCell ref="L161:L162"/>
    <mergeCell ref="A163:A164"/>
    <mergeCell ref="B163:B164"/>
    <mergeCell ref="C163:C164"/>
    <mergeCell ref="D163:D164"/>
    <mergeCell ref="L163:L164"/>
    <mergeCell ref="A165:A166"/>
    <mergeCell ref="B165:B166"/>
    <mergeCell ref="C165:C166"/>
    <mergeCell ref="D165:D166"/>
    <mergeCell ref="L165:L166"/>
    <mergeCell ref="A167:A168"/>
    <mergeCell ref="B167:B168"/>
    <mergeCell ref="C167:C168"/>
    <mergeCell ref="D167:D168"/>
    <mergeCell ref="L167:L168"/>
    <mergeCell ref="A169:A170"/>
    <mergeCell ref="B169:B170"/>
    <mergeCell ref="C169:C170"/>
    <mergeCell ref="D169:D170"/>
    <mergeCell ref="L169:L170"/>
    <mergeCell ref="A171:A172"/>
    <mergeCell ref="B171:B172"/>
    <mergeCell ref="C171:C172"/>
    <mergeCell ref="D171:D172"/>
    <mergeCell ref="L171:L172"/>
    <mergeCell ref="A173:A174"/>
    <mergeCell ref="B173:B174"/>
    <mergeCell ref="C173:C174"/>
    <mergeCell ref="D173:D174"/>
    <mergeCell ref="L173:L174"/>
    <mergeCell ref="A175:A176"/>
    <mergeCell ref="B175:B176"/>
    <mergeCell ref="C175:C176"/>
    <mergeCell ref="D175:D176"/>
    <mergeCell ref="L175:L176"/>
    <mergeCell ref="A177:A178"/>
    <mergeCell ref="B177:B178"/>
    <mergeCell ref="C177:C178"/>
    <mergeCell ref="D177:D178"/>
    <mergeCell ref="L177:L178"/>
    <mergeCell ref="A179:A180"/>
    <mergeCell ref="B179:B180"/>
    <mergeCell ref="C179:C180"/>
    <mergeCell ref="D179:D180"/>
    <mergeCell ref="L179:L180"/>
    <mergeCell ref="A181:A182"/>
    <mergeCell ref="B181:B182"/>
    <mergeCell ref="C181:C182"/>
    <mergeCell ref="D181:D182"/>
    <mergeCell ref="L181:L182"/>
    <mergeCell ref="A183:A184"/>
    <mergeCell ref="B183:B184"/>
    <mergeCell ref="C183:C184"/>
    <mergeCell ref="D183:D184"/>
    <mergeCell ref="L183:L184"/>
    <mergeCell ref="A185:A186"/>
    <mergeCell ref="B185:B186"/>
    <mergeCell ref="C185:C186"/>
    <mergeCell ref="D185:D186"/>
    <mergeCell ref="L185:L186"/>
    <mergeCell ref="A187:A188"/>
    <mergeCell ref="B187:B188"/>
    <mergeCell ref="C187:C188"/>
    <mergeCell ref="D187:D188"/>
    <mergeCell ref="L187:L188"/>
    <mergeCell ref="A189:A190"/>
    <mergeCell ref="B189:B190"/>
    <mergeCell ref="C189:C190"/>
    <mergeCell ref="D189:D190"/>
    <mergeCell ref="L189:L190"/>
    <mergeCell ref="A191:A192"/>
    <mergeCell ref="B191:B192"/>
    <mergeCell ref="C191:C192"/>
    <mergeCell ref="D191:D192"/>
    <mergeCell ref="L191:L192"/>
    <mergeCell ref="C223:C224"/>
    <mergeCell ref="D223:D224"/>
    <mergeCell ref="L223:L224"/>
    <mergeCell ref="A225:A226"/>
    <mergeCell ref="B225:B226"/>
    <mergeCell ref="C225:C226"/>
    <mergeCell ref="D225:D226"/>
    <mergeCell ref="L225:L226"/>
    <mergeCell ref="A227:A228"/>
    <mergeCell ref="B227:B228"/>
    <mergeCell ref="C227:C228"/>
    <mergeCell ref="D227:D228"/>
    <mergeCell ref="L227:L228"/>
    <mergeCell ref="A223:A224"/>
    <mergeCell ref="B223:B224"/>
    <mergeCell ref="A239:A240"/>
    <mergeCell ref="B239:B240"/>
    <mergeCell ref="C239:C240"/>
    <mergeCell ref="D239:D240"/>
    <mergeCell ref="L239:L240"/>
    <mergeCell ref="A241:A242"/>
    <mergeCell ref="B241:B242"/>
    <mergeCell ref="C241:C242"/>
    <mergeCell ref="D241:D242"/>
    <mergeCell ref="L241:L242"/>
    <mergeCell ref="A243:A244"/>
    <mergeCell ref="B243:B244"/>
    <mergeCell ref="C243:C244"/>
    <mergeCell ref="D243:D244"/>
    <mergeCell ref="L243:L244"/>
    <mergeCell ref="A245:A246"/>
    <mergeCell ref="B245:B246"/>
    <mergeCell ref="C245:C246"/>
    <mergeCell ref="D245:D246"/>
    <mergeCell ref="L245:L246"/>
    <mergeCell ref="L247:L248"/>
    <mergeCell ref="A249:A250"/>
    <mergeCell ref="B249:B250"/>
    <mergeCell ref="C249:C250"/>
    <mergeCell ref="D249:D250"/>
    <mergeCell ref="L249:L250"/>
    <mergeCell ref="A251:A252"/>
    <mergeCell ref="B251:B252"/>
    <mergeCell ref="C251:C252"/>
    <mergeCell ref="D251:D252"/>
    <mergeCell ref="L251:L252"/>
    <mergeCell ref="A247:A248"/>
    <mergeCell ref="B247:B248"/>
    <mergeCell ref="C247:C248"/>
    <mergeCell ref="D247:D248"/>
    <mergeCell ref="A257:A258"/>
    <mergeCell ref="B257:B258"/>
    <mergeCell ref="C257:C258"/>
    <mergeCell ref="D257:D258"/>
    <mergeCell ref="L257:L258"/>
    <mergeCell ref="A259:A260"/>
    <mergeCell ref="B259:B260"/>
    <mergeCell ref="C259:C260"/>
    <mergeCell ref="D259:D260"/>
    <mergeCell ref="L259:L260"/>
    <mergeCell ref="A261:A262"/>
    <mergeCell ref="B261:B262"/>
    <mergeCell ref="C261:C262"/>
    <mergeCell ref="D261:D262"/>
    <mergeCell ref="L261:L262"/>
    <mergeCell ref="A263:A264"/>
    <mergeCell ref="B263:B264"/>
    <mergeCell ref="C263:C264"/>
    <mergeCell ref="D263:D264"/>
    <mergeCell ref="L263:L264"/>
    <mergeCell ref="A265:A266"/>
    <mergeCell ref="B265:B266"/>
    <mergeCell ref="C265:C266"/>
    <mergeCell ref="D265:D266"/>
    <mergeCell ref="L265:L266"/>
    <mergeCell ref="A267:A268"/>
    <mergeCell ref="B267:B268"/>
    <mergeCell ref="C267:C268"/>
    <mergeCell ref="D267:D268"/>
    <mergeCell ref="L267:L268"/>
    <mergeCell ref="A269:A270"/>
    <mergeCell ref="B269:B270"/>
    <mergeCell ref="C269:C270"/>
    <mergeCell ref="D269:D270"/>
    <mergeCell ref="L269:L270"/>
    <mergeCell ref="A271:A272"/>
    <mergeCell ref="B271:B272"/>
    <mergeCell ref="C271:C272"/>
    <mergeCell ref="D271:D272"/>
    <mergeCell ref="L271:L272"/>
  </mergeCells>
  <dataValidations count="1">
    <dataValidation type="date" allowBlank="1" showInputMessage="1" showErrorMessage="1" sqref="B3:C3">
      <formula1>42485</formula1>
      <formula2>42607</formula2>
    </dataValidation>
  </dataValidations>
  <pageMargins left="0.2" right="0.2" top="0.75" bottom="0.75" header="0.3" footer="0.3"/>
  <pageSetup paperSize="5" scale="82"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14:formula1>
            <xm:f>'[13]Drop Down Options'!#REF!</xm:f>
          </x14:formula1>
          <xm:sqref>B231:C268 L231:L268</xm:sqref>
        </x14:dataValidation>
        <x14:dataValidation type="list" allowBlank="1" showInputMessage="1" showErrorMessage="1">
          <x14:formula1>
            <xm:f>'[14]Drop Down Options'!#REF!</xm:f>
          </x14:formula1>
          <xm:sqref>L149:L166</xm:sqref>
        </x14:dataValidation>
        <x14:dataValidation type="list" allowBlank="1" showInputMessage="1" showErrorMessage="1">
          <x14:formula1>
            <xm:f>'[14]Drop Down Options'!#REF!</xm:f>
          </x14:formula1>
          <xm:sqref>C155 C151 C157 C159 C153 C161 C149</xm:sqref>
        </x14:dataValidation>
        <x14:dataValidation type="list" allowBlank="1" showInputMessage="1" showErrorMessage="1">
          <x14:formula1>
            <xm:f>'[14]Drop Down Options'!#REF!</xm:f>
          </x14:formula1>
          <xm:sqref>B151 B153 B155 B157 B149 B159 B161</xm:sqref>
        </x14:dataValidation>
        <x14:dataValidation type="list" allowBlank="1" showInputMessage="1" showErrorMessage="1">
          <x14:formula1>
            <xm:f>'[15]Drop Down Options'!#REF!</xm:f>
          </x14:formula1>
          <xm:sqref>L227:L230 B227:C230 B269:C272 L269:L272</xm:sqref>
        </x14:dataValidation>
        <x14:dataValidation type="list" allowBlank="1" showInputMessage="1" showErrorMessage="1">
          <x14:formula1>
            <xm:f>'[16]Drop Down Options'!#REF!</xm:f>
          </x14:formula1>
          <xm:sqref>B143:C146</xm:sqref>
        </x14:dataValidation>
        <x14:dataValidation type="list" allowBlank="1" showInputMessage="1" showErrorMessage="1">
          <x14:formula1>
            <xm:f>'[17]Drop Down Options'!#REF!</xm:f>
          </x14:formula1>
          <xm:sqref>L205:L212 B205:B212 C209:C210</xm:sqref>
        </x14:dataValidation>
        <x14:dataValidation type="list" allowBlank="1" showInputMessage="1" showErrorMessage="1">
          <x14:formula1>
            <xm:f>'[18]Drop Down Options'!#REF!</xm:f>
          </x14:formula1>
          <xm:sqref>L137:L148 C139:C142 B147:C148 L167:L204 B137:B142 B167:C204 C205:C208 C211:C212</xm:sqref>
        </x14:dataValidation>
        <x14:dataValidation type="list" allowBlank="1" showInputMessage="1" showErrorMessage="1">
          <x14:formula1>
            <xm:f>'[19]Drop Down Options'!#REF!</xm:f>
          </x14:formula1>
          <xm:sqref>L135 B89:C121 B123:C123 L123 B125:C125 B127:C127 L125 L127 B129:C133 L129 L131 L133 L89:L104 L107:L121 B163:B166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V107"/>
  <sheetViews>
    <sheetView zoomScaleNormal="100" workbookViewId="0">
      <selection activeCell="F9" sqref="F9"/>
    </sheetView>
  </sheetViews>
  <sheetFormatPr defaultColWidth="9.140625" defaultRowHeight="12.75" x14ac:dyDescent="0.2"/>
  <cols>
    <col min="1" max="1" width="40.140625" style="27" customWidth="1"/>
    <col min="2" max="2" width="35.140625" style="27" customWidth="1"/>
    <col min="3" max="3" width="23.7109375" style="27" customWidth="1"/>
    <col min="4" max="4" width="20" style="27" customWidth="1"/>
    <col min="5" max="5" width="14.85546875" style="117" customWidth="1"/>
    <col min="6" max="6" width="26.28515625" style="27" customWidth="1"/>
    <col min="7" max="7" width="21.5703125" style="27" customWidth="1"/>
    <col min="8" max="8" width="16.85546875" style="27" customWidth="1"/>
    <col min="9" max="9" width="12.7109375" style="117" customWidth="1"/>
    <col min="10" max="10" width="19.42578125" style="27" customWidth="1"/>
    <col min="11" max="11" width="31.42578125" style="27" customWidth="1"/>
    <col min="12" max="12" width="21" style="27" customWidth="1"/>
    <col min="13" max="13" width="25.5703125" style="27" customWidth="1"/>
    <col min="14" max="14" width="16.140625" style="27" customWidth="1"/>
    <col min="15" max="15" width="30.140625" style="27" customWidth="1"/>
    <col min="16" max="16" width="17.28515625" style="27" customWidth="1"/>
    <col min="17" max="16384" width="9.140625" style="27"/>
  </cols>
  <sheetData>
    <row r="1" spans="1:15" x14ac:dyDescent="0.2">
      <c r="A1" s="116" t="s">
        <v>0</v>
      </c>
      <c r="B1" s="377" t="s">
        <v>806</v>
      </c>
      <c r="C1" s="377"/>
      <c r="G1" s="118"/>
    </row>
    <row r="2" spans="1:15" x14ac:dyDescent="0.2">
      <c r="A2" s="116" t="s">
        <v>1</v>
      </c>
      <c r="B2" s="376">
        <v>43210</v>
      </c>
      <c r="C2" s="376"/>
      <c r="G2" s="119"/>
    </row>
    <row r="3" spans="1:15" x14ac:dyDescent="0.2">
      <c r="A3" s="118"/>
      <c r="H3" s="120"/>
      <c r="I3" s="121"/>
      <c r="J3" s="120"/>
    </row>
    <row r="4" spans="1:15" ht="61.9" customHeight="1" x14ac:dyDescent="0.2">
      <c r="A4" s="378" t="s">
        <v>1737</v>
      </c>
      <c r="B4" s="378"/>
      <c r="C4" s="119"/>
      <c r="D4" s="119"/>
      <c r="E4" s="121"/>
      <c r="F4" s="119"/>
      <c r="G4" s="119"/>
    </row>
    <row r="5" spans="1:15" ht="108" customHeight="1" x14ac:dyDescent="0.2">
      <c r="A5" s="378" t="s">
        <v>1738</v>
      </c>
      <c r="B5" s="378"/>
      <c r="C5" s="119"/>
      <c r="D5" s="118"/>
      <c r="E5" s="122"/>
      <c r="F5" s="118"/>
      <c r="G5" s="119"/>
      <c r="H5" s="119"/>
      <c r="I5" s="121"/>
      <c r="J5" s="119"/>
      <c r="K5" s="119"/>
      <c r="L5" s="119"/>
      <c r="M5" s="119"/>
      <c r="N5" s="119"/>
    </row>
    <row r="6" spans="1:15" ht="13.5" thickBot="1" x14ac:dyDescent="0.25">
      <c r="A6" s="119"/>
      <c r="B6" s="119"/>
      <c r="C6" s="119"/>
      <c r="D6" s="118"/>
      <c r="E6" s="122"/>
      <c r="F6" s="118"/>
      <c r="G6" s="119"/>
      <c r="H6" s="119"/>
      <c r="I6" s="121"/>
      <c r="J6" s="119"/>
      <c r="K6" s="123"/>
      <c r="L6" s="123"/>
      <c r="M6" s="123"/>
      <c r="N6" s="123"/>
    </row>
    <row r="7" spans="1:15" x14ac:dyDescent="0.2">
      <c r="A7" s="119"/>
      <c r="B7" s="119"/>
      <c r="C7" s="379" t="s">
        <v>20</v>
      </c>
      <c r="D7" s="380"/>
      <c r="E7" s="124"/>
      <c r="F7" s="123"/>
      <c r="G7" s="371" t="s">
        <v>40</v>
      </c>
      <c r="H7" s="372"/>
      <c r="I7" s="124"/>
      <c r="J7" s="123"/>
      <c r="L7" s="119"/>
      <c r="M7" s="119"/>
      <c r="O7" s="118"/>
    </row>
    <row r="8" spans="1:15" ht="53.25" customHeight="1" x14ac:dyDescent="0.2">
      <c r="A8" s="118"/>
      <c r="B8" s="119"/>
      <c r="C8" s="273" t="s">
        <v>189</v>
      </c>
      <c r="D8" s="274" t="s">
        <v>27</v>
      </c>
      <c r="E8" s="121"/>
      <c r="F8" s="119"/>
      <c r="G8" s="273" t="s">
        <v>189</v>
      </c>
      <c r="H8" s="274" t="s">
        <v>27</v>
      </c>
      <c r="I8" s="121"/>
      <c r="J8" s="119"/>
      <c r="L8" s="119"/>
      <c r="M8" s="119"/>
      <c r="O8" s="118"/>
    </row>
    <row r="9" spans="1:15" ht="77.25" thickBot="1" x14ac:dyDescent="0.25">
      <c r="A9" s="119"/>
      <c r="C9" s="161" t="s">
        <v>1631</v>
      </c>
      <c r="D9" s="125">
        <f>'ComprehensiveStrategic Finances'!C39</f>
        <v>43552915.050000004</v>
      </c>
      <c r="E9" s="121"/>
      <c r="F9" s="119"/>
      <c r="G9" s="161" t="s">
        <v>1632</v>
      </c>
      <c r="H9" s="126">
        <f>'ComprehensiveStrategic Finances'!C193</f>
        <v>42268375.310000002</v>
      </c>
      <c r="I9" s="121"/>
      <c r="J9" s="119" t="s">
        <v>1630</v>
      </c>
    </row>
    <row r="10" spans="1:15" x14ac:dyDescent="0.2">
      <c r="A10" s="119"/>
      <c r="C10" s="119"/>
      <c r="D10" s="119"/>
      <c r="E10" s="121"/>
      <c r="F10" s="119"/>
      <c r="G10" s="119"/>
      <c r="H10" s="119"/>
      <c r="I10" s="121"/>
      <c r="J10" s="119"/>
    </row>
    <row r="11" spans="1:15" x14ac:dyDescent="0.2">
      <c r="A11" s="119"/>
      <c r="C11" s="119"/>
      <c r="D11" s="25" t="s">
        <v>187</v>
      </c>
      <c r="E11" s="64"/>
      <c r="F11" s="119"/>
      <c r="H11" s="25" t="s">
        <v>188</v>
      </c>
      <c r="I11" s="64"/>
      <c r="J11" s="119"/>
    </row>
    <row r="12" spans="1:15" x14ac:dyDescent="0.2">
      <c r="A12" s="119"/>
      <c r="C12" s="119"/>
      <c r="D12" s="127">
        <f>'ComprehensiveStrategic Finances'!C157</f>
        <v>525000</v>
      </c>
      <c r="E12" s="121"/>
      <c r="F12" s="119"/>
      <c r="H12" s="127">
        <f>'ComprehensiveStrategic Finances'!C299</f>
        <v>500000</v>
      </c>
      <c r="I12" s="121"/>
      <c r="J12" s="119"/>
    </row>
    <row r="13" spans="1:15" ht="13.5" thickBot="1" x14ac:dyDescent="0.25">
      <c r="A13" s="119"/>
      <c r="C13" s="119"/>
      <c r="D13" s="119"/>
      <c r="E13" s="121"/>
      <c r="F13" s="119"/>
      <c r="G13" s="119"/>
      <c r="H13" s="119"/>
      <c r="I13" s="121"/>
      <c r="J13" s="119"/>
    </row>
    <row r="14" spans="1:15" ht="13.5" thickBot="1" x14ac:dyDescent="0.25">
      <c r="A14" s="119"/>
      <c r="C14" s="373" t="s">
        <v>20</v>
      </c>
      <c r="D14" s="374"/>
      <c r="E14" s="374"/>
      <c r="F14" s="375"/>
      <c r="G14" s="373" t="s">
        <v>40</v>
      </c>
      <c r="H14" s="374"/>
      <c r="I14" s="374"/>
      <c r="J14" s="375"/>
    </row>
    <row r="15" spans="1:15" ht="120.75" customHeight="1" x14ac:dyDescent="0.2">
      <c r="A15" s="7" t="s">
        <v>121</v>
      </c>
      <c r="B15" s="275" t="s">
        <v>26</v>
      </c>
      <c r="C15" s="276" t="s">
        <v>28</v>
      </c>
      <c r="D15" s="277" t="s">
        <v>198</v>
      </c>
      <c r="E15" s="278" t="s">
        <v>186</v>
      </c>
      <c r="F15" s="279" t="s">
        <v>196</v>
      </c>
      <c r="G15" s="280" t="s">
        <v>190</v>
      </c>
      <c r="H15" s="281" t="s">
        <v>199</v>
      </c>
      <c r="I15" s="282" t="s">
        <v>200</v>
      </c>
      <c r="J15" s="279" t="s">
        <v>197</v>
      </c>
      <c r="K15" s="283" t="s">
        <v>146</v>
      </c>
      <c r="L15" s="3" t="s">
        <v>23</v>
      </c>
      <c r="M15" s="7" t="s">
        <v>37</v>
      </c>
      <c r="N15" s="3" t="s">
        <v>38</v>
      </c>
      <c r="O15" s="7" t="s">
        <v>1147</v>
      </c>
    </row>
    <row r="16" spans="1:15" ht="18.75" customHeight="1" x14ac:dyDescent="0.2">
      <c r="A16" s="364" t="s">
        <v>807</v>
      </c>
      <c r="B16" s="365"/>
      <c r="C16" s="365"/>
      <c r="D16" s="365"/>
      <c r="E16" s="365"/>
      <c r="F16" s="365"/>
      <c r="G16" s="365"/>
      <c r="H16" s="365"/>
      <c r="I16" s="365"/>
      <c r="J16" s="365"/>
      <c r="K16" s="365"/>
      <c r="L16" s="365"/>
      <c r="M16" s="365"/>
      <c r="N16" s="365"/>
      <c r="O16" s="366"/>
    </row>
    <row r="17" spans="1:17" ht="17.25" customHeight="1" x14ac:dyDescent="0.2">
      <c r="A17" s="367" t="s">
        <v>808</v>
      </c>
      <c r="B17" s="359"/>
      <c r="C17" s="359"/>
      <c r="D17" s="359"/>
      <c r="E17" s="359"/>
      <c r="F17" s="359"/>
      <c r="G17" s="359"/>
      <c r="H17" s="359"/>
      <c r="I17" s="359"/>
      <c r="J17" s="359"/>
      <c r="K17" s="359"/>
      <c r="L17" s="359"/>
      <c r="M17" s="359"/>
      <c r="N17" s="359"/>
      <c r="O17" s="360"/>
    </row>
    <row r="18" spans="1:17" ht="72" customHeight="1" x14ac:dyDescent="0.2">
      <c r="A18" s="96" t="s">
        <v>1177</v>
      </c>
      <c r="B18" s="92" t="s">
        <v>1166</v>
      </c>
      <c r="C18" s="96">
        <f>4.84+0.03</f>
        <v>4.87</v>
      </c>
      <c r="D18" s="128">
        <f>474037.71+13494.91</f>
        <v>487532.62</v>
      </c>
      <c r="E18" s="101">
        <f t="shared" ref="E18:E21" si="0">D18/$D$9</f>
        <v>1.1194029594581637E-2</v>
      </c>
      <c r="F18" s="102" t="s">
        <v>1619</v>
      </c>
      <c r="G18" s="105">
        <v>4.87</v>
      </c>
      <c r="H18" s="129">
        <f>539639.53+9281.61</f>
        <v>548921.14</v>
      </c>
      <c r="I18" s="101">
        <f t="shared" ref="I18:I21" si="1">H18/$H$9</f>
        <v>1.2986568231548146E-2</v>
      </c>
      <c r="J18" s="102" t="s">
        <v>1619</v>
      </c>
      <c r="K18" s="99" t="s">
        <v>1300</v>
      </c>
      <c r="L18" s="95" t="s">
        <v>1301</v>
      </c>
      <c r="M18" s="95" t="s">
        <v>1339</v>
      </c>
      <c r="N18" s="92" t="s">
        <v>14</v>
      </c>
      <c r="O18" s="95" t="s">
        <v>1302</v>
      </c>
    </row>
    <row r="19" spans="1:17" ht="123" customHeight="1" x14ac:dyDescent="0.2">
      <c r="A19" s="96" t="s">
        <v>1210</v>
      </c>
      <c r="B19" s="92" t="s">
        <v>1167</v>
      </c>
      <c r="C19" s="96">
        <f>5.15+0.03</f>
        <v>5.1800000000000006</v>
      </c>
      <c r="D19" s="128">
        <f>523483.82+13494.91</f>
        <v>536978.73</v>
      </c>
      <c r="E19" s="101">
        <f t="shared" si="0"/>
        <v>1.2329340742945286E-2</v>
      </c>
      <c r="F19" s="102" t="s">
        <v>1619</v>
      </c>
      <c r="G19" s="103">
        <v>6.18</v>
      </c>
      <c r="H19" s="130">
        <f>595928.46+9281.61</f>
        <v>605210.06999999995</v>
      </c>
      <c r="I19" s="101">
        <f t="shared" si="1"/>
        <v>1.4318271415954263E-2</v>
      </c>
      <c r="J19" s="102" t="s">
        <v>1619</v>
      </c>
      <c r="K19" s="99" t="s">
        <v>1303</v>
      </c>
      <c r="L19" s="95" t="s">
        <v>1301</v>
      </c>
      <c r="M19" s="95" t="s">
        <v>1339</v>
      </c>
      <c r="N19" s="92" t="s">
        <v>14</v>
      </c>
      <c r="O19" s="95" t="s">
        <v>1304</v>
      </c>
    </row>
    <row r="20" spans="1:17" ht="102" x14ac:dyDescent="0.2">
      <c r="A20" s="96" t="s">
        <v>810</v>
      </c>
      <c r="B20" s="92" t="s">
        <v>1168</v>
      </c>
      <c r="C20" s="96">
        <f>14.34+0.03</f>
        <v>14.37</v>
      </c>
      <c r="D20" s="128">
        <f>1576900.95+13494.91</f>
        <v>1590395.8599999999</v>
      </c>
      <c r="E20" s="101">
        <f t="shared" si="0"/>
        <v>3.651640442836443E-2</v>
      </c>
      <c r="F20" s="102" t="s">
        <v>1619</v>
      </c>
      <c r="G20" s="103">
        <v>14.37</v>
      </c>
      <c r="H20" s="130">
        <f>1795127.41+9281.61</f>
        <v>1804409.02</v>
      </c>
      <c r="I20" s="101">
        <f t="shared" si="1"/>
        <v>4.2689339411943437E-2</v>
      </c>
      <c r="J20" s="102" t="s">
        <v>1619</v>
      </c>
      <c r="K20" s="99" t="s">
        <v>1305</v>
      </c>
      <c r="L20" s="95" t="s">
        <v>1301</v>
      </c>
      <c r="M20" s="95" t="s">
        <v>1339</v>
      </c>
      <c r="N20" s="92" t="s">
        <v>14</v>
      </c>
      <c r="O20" s="95" t="s">
        <v>1306</v>
      </c>
    </row>
    <row r="21" spans="1:17" ht="99" customHeight="1" x14ac:dyDescent="0.2">
      <c r="A21" s="96" t="s">
        <v>1629</v>
      </c>
      <c r="B21" s="92" t="s">
        <v>1169</v>
      </c>
      <c r="C21" s="96">
        <f>6.53+0.03</f>
        <v>6.5600000000000005</v>
      </c>
      <c r="D21" s="128">
        <f>636349.94+13494.91</f>
        <v>649844.85</v>
      </c>
      <c r="E21" s="101">
        <f t="shared" si="0"/>
        <v>1.492081182749672E-2</v>
      </c>
      <c r="F21" s="102" t="s">
        <v>1619</v>
      </c>
      <c r="G21" s="103">
        <v>6.56</v>
      </c>
      <c r="H21" s="130">
        <f>724414.06+9281.61</f>
        <v>733695.67</v>
      </c>
      <c r="I21" s="101">
        <f t="shared" si="1"/>
        <v>1.7358028658991765E-2</v>
      </c>
      <c r="J21" s="102" t="s">
        <v>1619</v>
      </c>
      <c r="K21" s="99" t="s">
        <v>1307</v>
      </c>
      <c r="L21" s="95" t="s">
        <v>1301</v>
      </c>
      <c r="M21" s="95" t="s">
        <v>1339</v>
      </c>
      <c r="N21" s="92" t="s">
        <v>14</v>
      </c>
      <c r="O21" s="95" t="s">
        <v>1308</v>
      </c>
    </row>
    <row r="22" spans="1:17" ht="20.25" customHeight="1" x14ac:dyDescent="0.2">
      <c r="A22" s="367" t="s">
        <v>812</v>
      </c>
      <c r="B22" s="359"/>
      <c r="C22" s="359"/>
      <c r="D22" s="359"/>
      <c r="E22" s="359"/>
      <c r="F22" s="359"/>
      <c r="G22" s="359"/>
      <c r="H22" s="359"/>
      <c r="I22" s="359"/>
      <c r="J22" s="359"/>
      <c r="K22" s="359"/>
      <c r="L22" s="359"/>
      <c r="M22" s="359"/>
      <c r="N22" s="359"/>
      <c r="O22" s="360"/>
    </row>
    <row r="23" spans="1:17" ht="63.75" x14ac:dyDescent="0.2">
      <c r="A23" s="96" t="s">
        <v>813</v>
      </c>
      <c r="B23" s="92" t="s">
        <v>1170</v>
      </c>
      <c r="C23" s="96">
        <f>1.93+0.03</f>
        <v>1.96</v>
      </c>
      <c r="D23" s="128">
        <f>242930.89+13494.91</f>
        <v>256425.80000000002</v>
      </c>
      <c r="E23" s="101">
        <f t="shared" ref="E23:E25" si="2">D23/$D$9</f>
        <v>5.8876839748984834E-3</v>
      </c>
      <c r="F23" s="102" t="s">
        <v>1619</v>
      </c>
      <c r="G23" s="103">
        <v>1.96</v>
      </c>
      <c r="H23" s="130">
        <f>276549.96+9281.61</f>
        <v>285831.57</v>
      </c>
      <c r="I23" s="101">
        <f t="shared" ref="I23:I25" si="3">H23/$H$9</f>
        <v>6.7623032090466219E-3</v>
      </c>
      <c r="J23" s="102" t="s">
        <v>1619</v>
      </c>
      <c r="K23" s="99"/>
      <c r="L23" s="95" t="s">
        <v>680</v>
      </c>
      <c r="M23" s="95" t="s">
        <v>1340</v>
      </c>
      <c r="N23" s="92" t="s">
        <v>14</v>
      </c>
      <c r="O23" s="95" t="s">
        <v>1309</v>
      </c>
    </row>
    <row r="24" spans="1:17" ht="63.75" x14ac:dyDescent="0.2">
      <c r="A24" s="96" t="s">
        <v>814</v>
      </c>
      <c r="B24" s="92" t="s">
        <v>1173</v>
      </c>
      <c r="C24" s="96">
        <f>2.5+0.03</f>
        <v>2.5299999999999998</v>
      </c>
      <c r="D24" s="128">
        <f>570780.1+13494.91</f>
        <v>584275.01</v>
      </c>
      <c r="E24" s="101">
        <f t="shared" si="2"/>
        <v>1.3415290556997974E-2</v>
      </c>
      <c r="F24" s="102" t="s">
        <v>1619</v>
      </c>
      <c r="G24" s="103">
        <v>2.5299999999999998</v>
      </c>
      <c r="H24" s="130">
        <f>649770.04+9281.61</f>
        <v>659051.65</v>
      </c>
      <c r="I24" s="101">
        <f t="shared" si="3"/>
        <v>1.5592074338473077E-2</v>
      </c>
      <c r="J24" s="102" t="s">
        <v>1619</v>
      </c>
      <c r="K24" s="99" t="s">
        <v>1310</v>
      </c>
      <c r="L24" s="95" t="s">
        <v>680</v>
      </c>
      <c r="M24" s="95" t="s">
        <v>1340</v>
      </c>
      <c r="N24" s="92" t="s">
        <v>14</v>
      </c>
      <c r="O24" s="95" t="s">
        <v>1309</v>
      </c>
    </row>
    <row r="25" spans="1:17" ht="87" customHeight="1" x14ac:dyDescent="0.2">
      <c r="A25" s="96" t="s">
        <v>815</v>
      </c>
      <c r="B25" s="92" t="s">
        <v>1171</v>
      </c>
      <c r="C25" s="96">
        <f>0.65+0.03</f>
        <v>0.68</v>
      </c>
      <c r="D25" s="128">
        <f>53745.77+13494.91</f>
        <v>67240.679999999993</v>
      </c>
      <c r="E25" s="101">
        <f t="shared" si="2"/>
        <v>1.5438847186877332E-3</v>
      </c>
      <c r="F25" s="102" t="s">
        <v>1619</v>
      </c>
      <c r="G25" s="103">
        <v>0.68</v>
      </c>
      <c r="H25" s="130">
        <f>61183.62+9281.61</f>
        <v>70465.23000000001</v>
      </c>
      <c r="I25" s="101">
        <f t="shared" si="3"/>
        <v>1.6670910458043817E-3</v>
      </c>
      <c r="J25" s="102" t="s">
        <v>1619</v>
      </c>
      <c r="K25" s="99"/>
      <c r="L25" s="95" t="s">
        <v>680</v>
      </c>
      <c r="M25" s="95" t="s">
        <v>1340</v>
      </c>
      <c r="N25" s="92" t="s">
        <v>14</v>
      </c>
      <c r="O25" s="95" t="s">
        <v>1311</v>
      </c>
    </row>
    <row r="26" spans="1:17" ht="16.5" customHeight="1" x14ac:dyDescent="0.2">
      <c r="A26" s="367" t="s">
        <v>816</v>
      </c>
      <c r="B26" s="359"/>
      <c r="C26" s="359"/>
      <c r="D26" s="359"/>
      <c r="E26" s="359"/>
      <c r="F26" s="359"/>
      <c r="G26" s="359"/>
      <c r="H26" s="359"/>
      <c r="I26" s="359"/>
      <c r="J26" s="359"/>
      <c r="K26" s="359"/>
      <c r="L26" s="359"/>
      <c r="M26" s="359"/>
      <c r="N26" s="359"/>
      <c r="O26" s="360"/>
    </row>
    <row r="27" spans="1:17" ht="89.25" x14ac:dyDescent="0.2">
      <c r="A27" s="96" t="s">
        <v>817</v>
      </c>
      <c r="B27" s="92" t="s">
        <v>1172</v>
      </c>
      <c r="C27" s="96">
        <f>8.4+0.03</f>
        <v>8.43</v>
      </c>
      <c r="D27" s="128">
        <f>1429637.54+13494.91</f>
        <v>1443132.45</v>
      </c>
      <c r="E27" s="101">
        <f t="shared" ref="E27:E30" si="4">D27/$D$9</f>
        <v>3.3135151765231838E-2</v>
      </c>
      <c r="F27" s="102" t="s">
        <v>1619</v>
      </c>
      <c r="G27" s="103">
        <v>8.43</v>
      </c>
      <c r="H27" s="130">
        <f>1627484.29+9281.61</f>
        <v>1636765.9000000001</v>
      </c>
      <c r="I27" s="101">
        <f t="shared" ref="I27:I30" si="5">H27/$H$9</f>
        <v>3.8723179871376988E-2</v>
      </c>
      <c r="J27" s="102" t="s">
        <v>1619</v>
      </c>
      <c r="K27" s="99" t="s">
        <v>1312</v>
      </c>
      <c r="L27" s="95" t="s">
        <v>660</v>
      </c>
      <c r="M27" s="95" t="s">
        <v>1341</v>
      </c>
      <c r="N27" s="92" t="s">
        <v>14</v>
      </c>
      <c r="O27" s="95" t="s">
        <v>1308</v>
      </c>
    </row>
    <row r="28" spans="1:17" ht="51" x14ac:dyDescent="0.2">
      <c r="A28" s="119" t="s">
        <v>818</v>
      </c>
      <c r="B28" s="92" t="s">
        <v>1172</v>
      </c>
      <c r="C28" s="105">
        <f>7.2+0.03</f>
        <v>7.23</v>
      </c>
      <c r="D28" s="128">
        <f>1876619.88+13494.91</f>
        <v>1890114.7899999998</v>
      </c>
      <c r="E28" s="101">
        <f t="shared" si="4"/>
        <v>4.3398123588974317E-2</v>
      </c>
      <c r="F28" s="102" t="s">
        <v>1619</v>
      </c>
      <c r="G28" s="131">
        <v>7.23</v>
      </c>
      <c r="H28" s="132">
        <f>1653016.44+9281.61</f>
        <v>1662298.05</v>
      </c>
      <c r="I28" s="101">
        <f t="shared" si="5"/>
        <v>3.9327228402051398E-2</v>
      </c>
      <c r="J28" s="102" t="s">
        <v>1619</v>
      </c>
      <c r="K28" s="133" t="s">
        <v>421</v>
      </c>
      <c r="L28" s="95" t="s">
        <v>660</v>
      </c>
      <c r="M28" s="95" t="s">
        <v>1341</v>
      </c>
      <c r="N28" s="92" t="s">
        <v>14</v>
      </c>
      <c r="O28" s="95" t="s">
        <v>1313</v>
      </c>
    </row>
    <row r="29" spans="1:17" ht="137.25" customHeight="1" x14ac:dyDescent="0.2">
      <c r="A29" s="95" t="s">
        <v>819</v>
      </c>
      <c r="B29" s="92" t="s">
        <v>1172</v>
      </c>
      <c r="C29" s="96">
        <f>19.68+0.03</f>
        <v>19.71</v>
      </c>
      <c r="D29" s="128">
        <f>3905167.8+13494.91</f>
        <v>3918662.71</v>
      </c>
      <c r="E29" s="101">
        <f t="shared" si="4"/>
        <v>8.9974751529289423E-2</v>
      </c>
      <c r="F29" s="102" t="s">
        <v>1619</v>
      </c>
      <c r="G29" s="103">
        <v>22.71</v>
      </c>
      <c r="H29" s="130">
        <f>4445601.83+9281.61</f>
        <v>4454883.4400000004</v>
      </c>
      <c r="I29" s="101">
        <f t="shared" si="5"/>
        <v>0.10539518983938917</v>
      </c>
      <c r="J29" s="102" t="s">
        <v>1619</v>
      </c>
      <c r="K29" s="99" t="s">
        <v>1730</v>
      </c>
      <c r="L29" s="95" t="s">
        <v>660</v>
      </c>
      <c r="M29" s="95" t="s">
        <v>1341</v>
      </c>
      <c r="N29" s="92" t="s">
        <v>14</v>
      </c>
      <c r="O29" s="95" t="s">
        <v>1308</v>
      </c>
    </row>
    <row r="30" spans="1:17" ht="51" x14ac:dyDescent="0.2">
      <c r="A30" s="27" t="s">
        <v>820</v>
      </c>
      <c r="B30" s="92" t="s">
        <v>1172</v>
      </c>
      <c r="C30" s="96">
        <f>1.78+0.03</f>
        <v>1.81</v>
      </c>
      <c r="D30" s="128">
        <f>268728.86+13494.91</f>
        <v>282223.76999999996</v>
      </c>
      <c r="E30" s="101">
        <f t="shared" si="4"/>
        <v>6.4800202162357884E-3</v>
      </c>
      <c r="F30" s="102" t="s">
        <v>1619</v>
      </c>
      <c r="G30" s="103">
        <v>1.81</v>
      </c>
      <c r="H30" s="130">
        <f>305918.1+9281.61</f>
        <v>315199.70999999996</v>
      </c>
      <c r="I30" s="101">
        <f t="shared" si="5"/>
        <v>7.4571049321933338E-3</v>
      </c>
      <c r="J30" s="102" t="s">
        <v>1619</v>
      </c>
      <c r="K30" s="99" t="s">
        <v>1314</v>
      </c>
      <c r="L30" s="95" t="s">
        <v>660</v>
      </c>
      <c r="M30" s="95" t="s">
        <v>1341</v>
      </c>
      <c r="N30" s="92" t="s">
        <v>14</v>
      </c>
      <c r="O30" s="95" t="s">
        <v>1309</v>
      </c>
      <c r="Q30" s="27" t="s">
        <v>584</v>
      </c>
    </row>
    <row r="31" spans="1:17" ht="20.25" customHeight="1" x14ac:dyDescent="0.2">
      <c r="A31" s="364" t="s">
        <v>956</v>
      </c>
      <c r="B31" s="365"/>
      <c r="C31" s="365"/>
      <c r="D31" s="365"/>
      <c r="E31" s="365"/>
      <c r="F31" s="365"/>
      <c r="G31" s="365"/>
      <c r="H31" s="365"/>
      <c r="I31" s="365"/>
      <c r="J31" s="365"/>
      <c r="K31" s="365"/>
      <c r="L31" s="365"/>
      <c r="M31" s="365"/>
      <c r="N31" s="365"/>
      <c r="O31" s="366"/>
      <c r="Q31" s="27" t="s">
        <v>584</v>
      </c>
    </row>
    <row r="32" spans="1:17" ht="21.75" customHeight="1" thickBot="1" x14ac:dyDescent="0.25">
      <c r="A32" s="367" t="s">
        <v>821</v>
      </c>
      <c r="B32" s="359"/>
      <c r="C32" s="359"/>
      <c r="D32" s="359"/>
      <c r="E32" s="359"/>
      <c r="F32" s="359"/>
      <c r="G32" s="359"/>
      <c r="H32" s="359"/>
      <c r="I32" s="359"/>
      <c r="J32" s="359"/>
      <c r="K32" s="359"/>
      <c r="L32" s="359"/>
      <c r="M32" s="359"/>
      <c r="N32" s="359"/>
      <c r="O32" s="360"/>
    </row>
    <row r="33" spans="1:15" ht="77.25" thickBot="1" x14ac:dyDescent="0.25">
      <c r="A33" s="96" t="s">
        <v>822</v>
      </c>
      <c r="B33" s="92" t="s">
        <v>1667</v>
      </c>
      <c r="C33" s="96">
        <f>47.01+0.03+4</f>
        <v>51.04</v>
      </c>
      <c r="D33" s="128">
        <f>6641527.54+13494.91</f>
        <v>6655022.4500000002</v>
      </c>
      <c r="E33" s="101">
        <f t="shared" ref="E33:E37" si="6">D33/$D$9</f>
        <v>0.15280314629594466</v>
      </c>
      <c r="F33" s="102" t="s">
        <v>1620</v>
      </c>
      <c r="G33" s="103">
        <v>53.54</v>
      </c>
      <c r="H33" s="130">
        <f>7007673.1+9281.61</f>
        <v>7016954.71</v>
      </c>
      <c r="I33" s="101">
        <f t="shared" ref="I33:I37" si="7">H33/$H$9</f>
        <v>0.16600956763861952</v>
      </c>
      <c r="J33" s="134" t="s">
        <v>1621</v>
      </c>
      <c r="K33" s="99" t="s">
        <v>1281</v>
      </c>
      <c r="L33" s="68" t="s">
        <v>661</v>
      </c>
      <c r="M33" s="95" t="s">
        <v>1282</v>
      </c>
      <c r="N33" s="92" t="s">
        <v>14</v>
      </c>
      <c r="O33" s="95" t="s">
        <v>1283</v>
      </c>
    </row>
    <row r="34" spans="1:15" ht="51.75" thickBot="1" x14ac:dyDescent="0.25">
      <c r="A34" s="96" t="s">
        <v>1211</v>
      </c>
      <c r="B34" s="92" t="s">
        <v>1668</v>
      </c>
      <c r="C34" s="96">
        <f>19.09+0.03</f>
        <v>19.12</v>
      </c>
      <c r="D34" s="128">
        <f>2290181.91+13494.91</f>
        <v>2303676.8200000003</v>
      </c>
      <c r="E34" s="101">
        <f t="shared" si="6"/>
        <v>5.2893745857316619E-2</v>
      </c>
      <c r="F34" s="102" t="s">
        <v>1622</v>
      </c>
      <c r="G34" s="103">
        <v>19.62</v>
      </c>
      <c r="H34" s="130">
        <f>2416439+9281.61</f>
        <v>2425720.61</v>
      </c>
      <c r="I34" s="101">
        <f t="shared" si="7"/>
        <v>5.7388546217107955E-2</v>
      </c>
      <c r="J34" s="134" t="s">
        <v>1621</v>
      </c>
      <c r="K34" s="99" t="s">
        <v>1284</v>
      </c>
      <c r="L34" s="68" t="s">
        <v>661</v>
      </c>
      <c r="M34" s="95" t="s">
        <v>1282</v>
      </c>
      <c r="N34" s="92" t="s">
        <v>14</v>
      </c>
      <c r="O34" s="95" t="s">
        <v>1285</v>
      </c>
    </row>
    <row r="35" spans="1:15" ht="64.5" thickBot="1" x14ac:dyDescent="0.25">
      <c r="A35" s="96" t="s">
        <v>823</v>
      </c>
      <c r="B35" s="92" t="s">
        <v>1669</v>
      </c>
      <c r="C35" s="96">
        <f>22.07+0.03</f>
        <v>22.1</v>
      </c>
      <c r="D35" s="128">
        <f>1145090.96+13494.91</f>
        <v>1158585.8699999999</v>
      </c>
      <c r="E35" s="101">
        <f t="shared" si="6"/>
        <v>2.6601798494312261E-2</v>
      </c>
      <c r="F35" s="102" t="s">
        <v>1622</v>
      </c>
      <c r="G35" s="103">
        <v>22.6</v>
      </c>
      <c r="H35" s="130">
        <f>1208219.5+9281.61</f>
        <v>1217501.1100000001</v>
      </c>
      <c r="I35" s="101">
        <f t="shared" si="7"/>
        <v>2.8804066895657551E-2</v>
      </c>
      <c r="J35" s="134" t="s">
        <v>1621</v>
      </c>
      <c r="K35" s="99" t="s">
        <v>1286</v>
      </c>
      <c r="L35" s="68" t="s">
        <v>661</v>
      </c>
      <c r="M35" s="95" t="s">
        <v>1282</v>
      </c>
      <c r="N35" s="92" t="s">
        <v>14</v>
      </c>
      <c r="O35" s="95" t="s">
        <v>1299</v>
      </c>
    </row>
    <row r="36" spans="1:15" ht="102.75" thickBot="1" x14ac:dyDescent="0.25">
      <c r="A36" s="96" t="s">
        <v>824</v>
      </c>
      <c r="B36" s="92" t="s">
        <v>1670</v>
      </c>
      <c r="C36" s="96">
        <f>29.4+0.03</f>
        <v>29.43</v>
      </c>
      <c r="D36" s="128">
        <f>1145090.96+13494.91</f>
        <v>1158585.8699999999</v>
      </c>
      <c r="E36" s="101">
        <f t="shared" si="6"/>
        <v>2.6601798494312261E-2</v>
      </c>
      <c r="F36" s="102" t="s">
        <v>1622</v>
      </c>
      <c r="G36" s="103">
        <v>30.93</v>
      </c>
      <c r="H36" s="130">
        <f>1208219.5+9281.61</f>
        <v>1217501.1100000001</v>
      </c>
      <c r="I36" s="101">
        <f t="shared" si="7"/>
        <v>2.8804066895657551E-2</v>
      </c>
      <c r="J36" s="134" t="s">
        <v>1621</v>
      </c>
      <c r="K36" s="99" t="s">
        <v>1287</v>
      </c>
      <c r="L36" s="68" t="s">
        <v>661</v>
      </c>
      <c r="M36" s="95" t="s">
        <v>1288</v>
      </c>
      <c r="N36" s="92" t="s">
        <v>14</v>
      </c>
      <c r="O36" s="95" t="s">
        <v>1289</v>
      </c>
    </row>
    <row r="37" spans="1:15" ht="51.75" thickBot="1" x14ac:dyDescent="0.25">
      <c r="A37" s="27" t="s">
        <v>825</v>
      </c>
      <c r="B37" s="92" t="s">
        <v>1671</v>
      </c>
      <c r="C37" s="96">
        <f>5.94+0.03</f>
        <v>5.9700000000000006</v>
      </c>
      <c r="D37" s="128">
        <f>404210.19+13494.91</f>
        <v>417705.1</v>
      </c>
      <c r="E37" s="101">
        <f t="shared" si="6"/>
        <v>9.5907495404259965E-3</v>
      </c>
      <c r="F37" s="102" t="s">
        <v>1620</v>
      </c>
      <c r="G37" s="103">
        <v>5.97</v>
      </c>
      <c r="H37" s="130">
        <f>442485.9+9281.61</f>
        <v>451767.51</v>
      </c>
      <c r="I37" s="101">
        <f t="shared" si="7"/>
        <v>1.0688073688347307E-2</v>
      </c>
      <c r="J37" s="134" t="s">
        <v>1621</v>
      </c>
      <c r="K37" s="99" t="s">
        <v>425</v>
      </c>
      <c r="L37" s="68" t="s">
        <v>661</v>
      </c>
      <c r="M37" s="95" t="s">
        <v>1288</v>
      </c>
      <c r="N37" s="92" t="s">
        <v>14</v>
      </c>
      <c r="O37" s="95" t="s">
        <v>1290</v>
      </c>
    </row>
    <row r="38" spans="1:15" ht="14.25" customHeight="1" thickBot="1" x14ac:dyDescent="0.25">
      <c r="A38" s="367" t="s">
        <v>1189</v>
      </c>
      <c r="B38" s="359"/>
      <c r="C38" s="359"/>
      <c r="D38" s="359"/>
      <c r="E38" s="359"/>
      <c r="F38" s="359"/>
      <c r="G38" s="359"/>
      <c r="H38" s="359"/>
      <c r="I38" s="359"/>
      <c r="J38" s="359"/>
      <c r="K38" s="359"/>
      <c r="L38" s="359"/>
      <c r="M38" s="359"/>
      <c r="N38" s="359"/>
      <c r="O38" s="360"/>
    </row>
    <row r="39" spans="1:15" ht="102.75" thickBot="1" x14ac:dyDescent="0.25">
      <c r="A39" s="96" t="s">
        <v>826</v>
      </c>
      <c r="B39" s="92" t="s">
        <v>1672</v>
      </c>
      <c r="C39" s="96">
        <f>2.78+0.03</f>
        <v>2.8099999999999996</v>
      </c>
      <c r="D39" s="128">
        <f>190561.57+13494.91</f>
        <v>204056.48</v>
      </c>
      <c r="E39" s="101">
        <f t="shared" ref="E39:E41" si="8">D39/$D$9</f>
        <v>4.6852542422415877E-3</v>
      </c>
      <c r="F39" s="102" t="s">
        <v>1623</v>
      </c>
      <c r="G39" s="103">
        <v>2.81</v>
      </c>
      <c r="H39" s="130">
        <f>226835.55+9281.61</f>
        <v>236117.15999999997</v>
      </c>
      <c r="I39" s="101">
        <f t="shared" ref="I39:I41" si="9">H39/$H$9</f>
        <v>5.5861423172358969E-3</v>
      </c>
      <c r="J39" s="134" t="s">
        <v>1624</v>
      </c>
      <c r="K39" s="99" t="s">
        <v>1291</v>
      </c>
      <c r="L39" s="68" t="s">
        <v>662</v>
      </c>
      <c r="M39" s="95" t="s">
        <v>1270</v>
      </c>
      <c r="N39" s="92" t="s">
        <v>14</v>
      </c>
      <c r="O39" s="95" t="s">
        <v>1292</v>
      </c>
    </row>
    <row r="40" spans="1:15" ht="112.5" customHeight="1" thickBot="1" x14ac:dyDescent="0.25">
      <c r="A40" s="96" t="s">
        <v>958</v>
      </c>
      <c r="B40" s="92" t="s">
        <v>1673</v>
      </c>
      <c r="C40" s="96">
        <f>10.4+0.03</f>
        <v>10.43</v>
      </c>
      <c r="D40" s="128">
        <f>381123.13+13494.91</f>
        <v>394618.04</v>
      </c>
      <c r="E40" s="101">
        <f t="shared" si="8"/>
        <v>9.0606573531752596E-3</v>
      </c>
      <c r="F40" s="102" t="s">
        <v>1623</v>
      </c>
      <c r="G40" s="103">
        <v>10.43</v>
      </c>
      <c r="H40" s="130">
        <f>453671.1+9281.61</f>
        <v>462952.70999999996</v>
      </c>
      <c r="I40" s="101">
        <f t="shared" si="9"/>
        <v>1.095269706026465E-2</v>
      </c>
      <c r="J40" s="134" t="s">
        <v>1624</v>
      </c>
      <c r="K40" s="99" t="s">
        <v>1139</v>
      </c>
      <c r="L40" s="68" t="s">
        <v>662</v>
      </c>
      <c r="M40" s="95" t="s">
        <v>1270</v>
      </c>
      <c r="N40" s="92" t="s">
        <v>14</v>
      </c>
      <c r="O40" s="95" t="s">
        <v>1292</v>
      </c>
    </row>
    <row r="41" spans="1:15" ht="77.25" thickBot="1" x14ac:dyDescent="0.25">
      <c r="A41" s="96" t="s">
        <v>827</v>
      </c>
      <c r="B41" s="92" t="s">
        <v>1674</v>
      </c>
      <c r="C41" s="96">
        <f>1.55+0.03</f>
        <v>1.58</v>
      </c>
      <c r="D41" s="128">
        <f>190561.57+13494.91</f>
        <v>204056.48</v>
      </c>
      <c r="E41" s="101">
        <f t="shared" si="8"/>
        <v>4.6852542422415877E-3</v>
      </c>
      <c r="F41" s="102" t="s">
        <v>1623</v>
      </c>
      <c r="G41" s="103">
        <v>1.58</v>
      </c>
      <c r="H41" s="130">
        <f>226835.55+9281.61</f>
        <v>236117.15999999997</v>
      </c>
      <c r="I41" s="101">
        <f t="shared" si="9"/>
        <v>5.5861423172358969E-3</v>
      </c>
      <c r="J41" s="134" t="s">
        <v>1624</v>
      </c>
      <c r="K41" s="99" t="s">
        <v>1293</v>
      </c>
      <c r="L41" s="68" t="s">
        <v>662</v>
      </c>
      <c r="M41" s="95" t="s">
        <v>1270</v>
      </c>
      <c r="N41" s="92" t="s">
        <v>14</v>
      </c>
      <c r="O41" s="95" t="s">
        <v>1292</v>
      </c>
    </row>
    <row r="42" spans="1:15" ht="22.5" customHeight="1" thickBot="1" x14ac:dyDescent="0.25">
      <c r="A42" s="367" t="s">
        <v>1191</v>
      </c>
      <c r="B42" s="359"/>
      <c r="C42" s="359"/>
      <c r="D42" s="359"/>
      <c r="E42" s="359"/>
      <c r="F42" s="359"/>
      <c r="G42" s="359"/>
      <c r="H42" s="359"/>
      <c r="I42" s="359"/>
      <c r="J42" s="359"/>
      <c r="K42" s="359"/>
      <c r="L42" s="359"/>
      <c r="M42" s="359"/>
      <c r="N42" s="359"/>
      <c r="O42" s="360"/>
    </row>
    <row r="43" spans="1:15" ht="64.5" thickBot="1" x14ac:dyDescent="0.25">
      <c r="A43" s="96" t="s">
        <v>1212</v>
      </c>
      <c r="B43" s="92" t="s">
        <v>1675</v>
      </c>
      <c r="C43" s="96">
        <f>4.3+0.03</f>
        <v>4.33</v>
      </c>
      <c r="D43" s="128">
        <f>381123.13+13494.91</f>
        <v>394618.04</v>
      </c>
      <c r="E43" s="101">
        <f t="shared" ref="E43:E45" si="10">D43/$D$9</f>
        <v>9.0606573531752596E-3</v>
      </c>
      <c r="F43" s="102" t="s">
        <v>1623</v>
      </c>
      <c r="G43" s="103">
        <v>5</v>
      </c>
      <c r="H43" s="130">
        <f>453671.1+9281.61</f>
        <v>462952.70999999996</v>
      </c>
      <c r="I43" s="101">
        <f t="shared" ref="I43:I45" si="11">H43/$H$9</f>
        <v>1.095269706026465E-2</v>
      </c>
      <c r="J43" s="134" t="s">
        <v>1624</v>
      </c>
      <c r="K43" s="99" t="s">
        <v>1134</v>
      </c>
      <c r="L43" s="68" t="s">
        <v>662</v>
      </c>
      <c r="M43" s="95" t="s">
        <v>1270</v>
      </c>
      <c r="N43" s="92" t="s">
        <v>14</v>
      </c>
      <c r="O43" s="95" t="s">
        <v>1294</v>
      </c>
    </row>
    <row r="44" spans="1:15" ht="60.6" customHeight="1" thickBot="1" x14ac:dyDescent="0.25">
      <c r="A44" s="96" t="s">
        <v>829</v>
      </c>
      <c r="B44" s="92" t="s">
        <v>1676</v>
      </c>
      <c r="C44" s="96">
        <f>33.08+0.03</f>
        <v>33.11</v>
      </c>
      <c r="D44" s="128">
        <f>1905615.65+13494.91</f>
        <v>1919110.5599999998</v>
      </c>
      <c r="E44" s="101">
        <f t="shared" si="10"/>
        <v>4.4063883159067667E-2</v>
      </c>
      <c r="F44" s="102" t="s">
        <v>1623</v>
      </c>
      <c r="G44" s="103">
        <v>33.78</v>
      </c>
      <c r="H44" s="130">
        <f>2268355.5+9281.61</f>
        <v>2277637.11</v>
      </c>
      <c r="I44" s="101">
        <f t="shared" si="11"/>
        <v>5.3885135004494683E-2</v>
      </c>
      <c r="J44" s="134" t="s">
        <v>1624</v>
      </c>
      <c r="K44" s="99" t="s">
        <v>1295</v>
      </c>
      <c r="L44" s="68" t="s">
        <v>662</v>
      </c>
      <c r="M44" s="95" t="s">
        <v>1270</v>
      </c>
      <c r="N44" s="92" t="s">
        <v>14</v>
      </c>
      <c r="O44" s="95" t="s">
        <v>1294</v>
      </c>
    </row>
    <row r="45" spans="1:15" ht="64.5" thickBot="1" x14ac:dyDescent="0.25">
      <c r="A45" s="96" t="s">
        <v>1178</v>
      </c>
      <c r="B45" s="92" t="s">
        <v>1677</v>
      </c>
      <c r="C45" s="96">
        <f>5.8+0.03</f>
        <v>5.83</v>
      </c>
      <c r="D45" s="128">
        <f>190561.57+13494.91</f>
        <v>204056.48</v>
      </c>
      <c r="E45" s="101">
        <f t="shared" si="10"/>
        <v>4.6852542422415877E-3</v>
      </c>
      <c r="F45" s="102" t="s">
        <v>1623</v>
      </c>
      <c r="G45" s="103">
        <v>6.49</v>
      </c>
      <c r="H45" s="130">
        <f>226835.55+9281.61</f>
        <v>236117.15999999997</v>
      </c>
      <c r="I45" s="101">
        <f t="shared" si="11"/>
        <v>5.5861423172358969E-3</v>
      </c>
      <c r="J45" s="134" t="s">
        <v>1624</v>
      </c>
      <c r="K45" s="99" t="s">
        <v>1296</v>
      </c>
      <c r="L45" s="68" t="s">
        <v>662</v>
      </c>
      <c r="M45" s="95" t="s">
        <v>1270</v>
      </c>
      <c r="N45" s="92" t="s">
        <v>14</v>
      </c>
      <c r="O45" s="95" t="s">
        <v>1297</v>
      </c>
    </row>
    <row r="46" spans="1:15" ht="25.5" customHeight="1" x14ac:dyDescent="0.2">
      <c r="A46" s="364" t="s">
        <v>1213</v>
      </c>
      <c r="B46" s="365"/>
      <c r="C46" s="365"/>
      <c r="D46" s="365"/>
      <c r="E46" s="365"/>
      <c r="F46" s="365"/>
      <c r="G46" s="365"/>
      <c r="H46" s="365"/>
      <c r="I46" s="365"/>
      <c r="J46" s="365"/>
      <c r="K46" s="135"/>
      <c r="L46" s="135"/>
      <c r="M46" s="135"/>
      <c r="N46" s="135"/>
      <c r="O46" s="136"/>
    </row>
    <row r="47" spans="1:15" ht="18" customHeight="1" thickBot="1" x14ac:dyDescent="0.25">
      <c r="A47" s="367" t="s">
        <v>831</v>
      </c>
      <c r="B47" s="359"/>
      <c r="C47" s="359"/>
      <c r="D47" s="359"/>
      <c r="E47" s="359"/>
      <c r="F47" s="359"/>
      <c r="G47" s="359"/>
      <c r="H47" s="359"/>
      <c r="I47" s="359"/>
      <c r="J47" s="359"/>
      <c r="K47" s="359"/>
      <c r="L47" s="359"/>
      <c r="M47" s="359"/>
      <c r="N47" s="359"/>
      <c r="O47" s="360"/>
    </row>
    <row r="48" spans="1:15" ht="141" thickBot="1" x14ac:dyDescent="0.25">
      <c r="A48" s="96" t="s">
        <v>1179</v>
      </c>
      <c r="B48" s="92" t="s">
        <v>1678</v>
      </c>
      <c r="C48" s="96">
        <f>3.98+0.03</f>
        <v>4.01</v>
      </c>
      <c r="D48" s="128">
        <f>270479.88+13494.91</f>
        <v>283974.78999999998</v>
      </c>
      <c r="E48" s="101">
        <f t="shared" ref="E48:E50" si="12">D48/$D$9</f>
        <v>6.5202246433789498E-3</v>
      </c>
      <c r="F48" s="102" t="s">
        <v>1625</v>
      </c>
      <c r="G48" s="103">
        <v>4.01</v>
      </c>
      <c r="H48" s="130">
        <f>253575.45+9281.61</f>
        <v>262857.06</v>
      </c>
      <c r="I48" s="101">
        <f t="shared" ref="I48:I50" si="13">H48/$H$9</f>
        <v>6.2187642196366213E-3</v>
      </c>
      <c r="J48" s="110" t="s">
        <v>1625</v>
      </c>
      <c r="K48" s="99" t="s">
        <v>1348</v>
      </c>
      <c r="L48" s="68" t="s">
        <v>664</v>
      </c>
      <c r="M48" s="95" t="s">
        <v>1656</v>
      </c>
      <c r="N48" s="92" t="s">
        <v>14</v>
      </c>
      <c r="O48" s="95" t="s">
        <v>1316</v>
      </c>
    </row>
    <row r="49" spans="1:17" ht="30" customHeight="1" thickBot="1" x14ac:dyDescent="0.25">
      <c r="A49" s="96" t="s">
        <v>1180</v>
      </c>
      <c r="B49" s="92" t="s">
        <v>1678</v>
      </c>
      <c r="C49" s="96">
        <f>1.98+0.03</f>
        <v>2.0099999999999998</v>
      </c>
      <c r="D49" s="128">
        <f>162287.93+13494.91</f>
        <v>175782.84</v>
      </c>
      <c r="E49" s="101">
        <f t="shared" si="12"/>
        <v>4.0360751926293847E-3</v>
      </c>
      <c r="F49" s="102" t="s">
        <v>1625</v>
      </c>
      <c r="G49" s="103">
        <v>2.0099999999999998</v>
      </c>
      <c r="H49" s="130">
        <f>152145.27+9281.61</f>
        <v>161426.88</v>
      </c>
      <c r="I49" s="101">
        <f t="shared" si="13"/>
        <v>3.8190935614648303E-3</v>
      </c>
      <c r="J49" s="110" t="s">
        <v>1625</v>
      </c>
      <c r="K49" s="99" t="s">
        <v>1317</v>
      </c>
      <c r="L49" s="68" t="s">
        <v>664</v>
      </c>
      <c r="M49" s="95" t="s">
        <v>1657</v>
      </c>
      <c r="N49" s="92" t="s">
        <v>14</v>
      </c>
      <c r="O49" s="95" t="s">
        <v>1316</v>
      </c>
    </row>
    <row r="50" spans="1:17" ht="39" thickBot="1" x14ac:dyDescent="0.25">
      <c r="A50" s="96" t="s">
        <v>1181</v>
      </c>
      <c r="B50" s="92" t="s">
        <v>1678</v>
      </c>
      <c r="C50" s="96">
        <f>3+0.03</f>
        <v>3.03</v>
      </c>
      <c r="D50" s="128">
        <f>108191.95+13494.91</f>
        <v>121686.86</v>
      </c>
      <c r="E50" s="101">
        <f t="shared" si="12"/>
        <v>2.7940003524517237E-3</v>
      </c>
      <c r="F50" s="102" t="s">
        <v>1625</v>
      </c>
      <c r="G50" s="103">
        <v>3.03</v>
      </c>
      <c r="H50" s="130">
        <f>101430.18+9281.61</f>
        <v>110711.79</v>
      </c>
      <c r="I50" s="101">
        <f t="shared" si="13"/>
        <v>2.6192582323789344E-3</v>
      </c>
      <c r="J50" s="110" t="s">
        <v>1625</v>
      </c>
      <c r="K50" s="99" t="s">
        <v>1318</v>
      </c>
      <c r="L50" s="68" t="s">
        <v>664</v>
      </c>
      <c r="M50" s="95" t="s">
        <v>1658</v>
      </c>
      <c r="N50" s="92" t="s">
        <v>15</v>
      </c>
      <c r="O50" s="95" t="s">
        <v>1319</v>
      </c>
    </row>
    <row r="51" spans="1:17" ht="13.5" customHeight="1" thickBot="1" x14ac:dyDescent="0.25">
      <c r="A51" s="367" t="s">
        <v>832</v>
      </c>
      <c r="B51" s="359"/>
      <c r="C51" s="359"/>
      <c r="D51" s="359"/>
      <c r="E51" s="359"/>
      <c r="F51" s="359"/>
      <c r="G51" s="359"/>
      <c r="H51" s="359"/>
      <c r="I51" s="359"/>
      <c r="J51" s="359"/>
      <c r="K51" s="359"/>
      <c r="L51" s="137"/>
      <c r="M51" s="137"/>
      <c r="N51" s="137"/>
      <c r="O51" s="138"/>
    </row>
    <row r="52" spans="1:17" ht="51.75" thickBot="1" x14ac:dyDescent="0.25">
      <c r="A52" s="96" t="s">
        <v>1182</v>
      </c>
      <c r="B52" s="92" t="s">
        <v>1678</v>
      </c>
      <c r="C52" s="96">
        <f>20.88+0.03</f>
        <v>20.91</v>
      </c>
      <c r="D52" s="128">
        <f>1622879.26+13494.91</f>
        <v>1636374.17</v>
      </c>
      <c r="E52" s="101">
        <f t="shared" ref="E52:E54" si="14">D52/$D$9</f>
        <v>3.7572092892551395E-2</v>
      </c>
      <c r="F52" s="102" t="s">
        <v>1625</v>
      </c>
      <c r="G52" s="103">
        <v>22.91</v>
      </c>
      <c r="H52" s="130">
        <f>1521452.7+9281.61</f>
        <v>1530734.31</v>
      </c>
      <c r="I52" s="101">
        <f t="shared" ref="I52:I54" si="15">H52/$H$9</f>
        <v>3.6214647446784015E-2</v>
      </c>
      <c r="J52" s="110" t="s">
        <v>1625</v>
      </c>
      <c r="K52" s="99" t="s">
        <v>1349</v>
      </c>
      <c r="L52" s="68" t="s">
        <v>664</v>
      </c>
      <c r="M52" s="95" t="s">
        <v>1659</v>
      </c>
      <c r="N52" s="92" t="s">
        <v>14</v>
      </c>
      <c r="O52" s="95" t="s">
        <v>1319</v>
      </c>
    </row>
    <row r="53" spans="1:17" ht="55.15" customHeight="1" thickBot="1" x14ac:dyDescent="0.25">
      <c r="A53" s="111" t="s">
        <v>1214</v>
      </c>
      <c r="B53" s="92" t="s">
        <v>1678</v>
      </c>
      <c r="C53" s="96">
        <f>12.38+0.03</f>
        <v>12.41</v>
      </c>
      <c r="D53" s="128">
        <f>1081919.5+13494.91</f>
        <v>1095414.4099999999</v>
      </c>
      <c r="E53" s="101">
        <f t="shared" si="14"/>
        <v>2.5151345409197813E-2</v>
      </c>
      <c r="F53" s="102" t="s">
        <v>1625</v>
      </c>
      <c r="G53" s="103">
        <v>12.41</v>
      </c>
      <c r="H53" s="130">
        <f>1014301.8+9281.61</f>
        <v>1023583.41</v>
      </c>
      <c r="I53" s="101">
        <f t="shared" si="15"/>
        <v>2.4216294155925057E-2</v>
      </c>
      <c r="J53" s="110" t="s">
        <v>1625</v>
      </c>
      <c r="K53" s="99" t="s">
        <v>1353</v>
      </c>
      <c r="L53" s="68" t="s">
        <v>664</v>
      </c>
      <c r="M53" s="95" t="s">
        <v>1659</v>
      </c>
      <c r="N53" s="92" t="s">
        <v>14</v>
      </c>
      <c r="O53" s="95" t="s">
        <v>1319</v>
      </c>
    </row>
    <row r="54" spans="1:17" ht="39" thickBot="1" x14ac:dyDescent="0.25">
      <c r="A54" s="96" t="s">
        <v>834</v>
      </c>
      <c r="B54" s="92" t="s">
        <v>1678</v>
      </c>
      <c r="C54" s="96">
        <f>2.18+0.03</f>
        <v>2.21</v>
      </c>
      <c r="D54" s="128">
        <f>162287.93+13494.91</f>
        <v>175782.84</v>
      </c>
      <c r="E54" s="101">
        <f t="shared" si="14"/>
        <v>4.0360751926293847E-3</v>
      </c>
      <c r="F54" s="102" t="s">
        <v>1625</v>
      </c>
      <c r="G54" s="103">
        <v>2.21</v>
      </c>
      <c r="H54" s="130">
        <f>152145.27+9281.61</f>
        <v>161426.88</v>
      </c>
      <c r="I54" s="101">
        <f t="shared" si="15"/>
        <v>3.8190935614648303E-3</v>
      </c>
      <c r="J54" s="110" t="s">
        <v>1625</v>
      </c>
      <c r="K54" s="99" t="s">
        <v>1351</v>
      </c>
      <c r="L54" s="68" t="s">
        <v>664</v>
      </c>
      <c r="M54" s="95" t="s">
        <v>1350</v>
      </c>
      <c r="N54" s="92" t="s">
        <v>14</v>
      </c>
      <c r="O54" s="95" t="s">
        <v>1319</v>
      </c>
    </row>
    <row r="55" spans="1:17" ht="16.5" customHeight="1" thickBot="1" x14ac:dyDescent="0.25">
      <c r="A55" s="367" t="s">
        <v>835</v>
      </c>
      <c r="B55" s="359"/>
      <c r="C55" s="359"/>
      <c r="D55" s="359"/>
      <c r="E55" s="359"/>
      <c r="F55" s="359"/>
      <c r="G55" s="359"/>
      <c r="H55" s="359"/>
      <c r="I55" s="359"/>
      <c r="J55" s="359"/>
      <c r="K55" s="359"/>
      <c r="L55" s="359"/>
      <c r="M55" s="359"/>
      <c r="N55" s="359"/>
      <c r="O55" s="360"/>
    </row>
    <row r="56" spans="1:17" ht="51.75" thickBot="1" x14ac:dyDescent="0.25">
      <c r="A56" s="27" t="s">
        <v>836</v>
      </c>
      <c r="B56" s="92" t="s">
        <v>1679</v>
      </c>
      <c r="C56" s="96">
        <f>4.38+0.03</f>
        <v>4.41</v>
      </c>
      <c r="D56" s="128">
        <f>270479.88+13494.91</f>
        <v>283974.78999999998</v>
      </c>
      <c r="E56" s="101">
        <f t="shared" ref="E56:E59" si="16">D56/$D$9</f>
        <v>6.5202246433789498E-3</v>
      </c>
      <c r="F56" s="102" t="s">
        <v>1625</v>
      </c>
      <c r="G56" s="103">
        <v>4.41</v>
      </c>
      <c r="H56" s="130">
        <f>253575.45+9281.61</f>
        <v>262857.06</v>
      </c>
      <c r="I56" s="101">
        <f t="shared" ref="I56:I59" si="17">H56/$H$9</f>
        <v>6.2187642196366213E-3</v>
      </c>
      <c r="J56" s="110" t="s">
        <v>1625</v>
      </c>
      <c r="K56" s="99" t="s">
        <v>1354</v>
      </c>
      <c r="L56" s="68" t="s">
        <v>664</v>
      </c>
      <c r="M56" s="95" t="s">
        <v>1660</v>
      </c>
      <c r="N56" s="92" t="s">
        <v>14</v>
      </c>
      <c r="O56" s="95" t="s">
        <v>1302</v>
      </c>
    </row>
    <row r="57" spans="1:17" ht="90" thickBot="1" x14ac:dyDescent="0.25">
      <c r="A57" s="107" t="s">
        <v>1215</v>
      </c>
      <c r="B57" s="108" t="s">
        <v>1679</v>
      </c>
      <c r="C57" s="96">
        <f>9.73+0.03</f>
        <v>9.76</v>
      </c>
      <c r="D57" s="139">
        <f>811439.63+13494.91</f>
        <v>824934.54</v>
      </c>
      <c r="E57" s="101">
        <f t="shared" si="16"/>
        <v>1.894097189712678E-2</v>
      </c>
      <c r="F57" s="102" t="s">
        <v>1625</v>
      </c>
      <c r="G57" s="103">
        <v>9.76</v>
      </c>
      <c r="H57" s="130">
        <f>760726.35+9281.61</f>
        <v>770007.96</v>
      </c>
      <c r="I57" s="101">
        <f t="shared" si="17"/>
        <v>1.8217117510495578E-2</v>
      </c>
      <c r="J57" s="110" t="s">
        <v>1625</v>
      </c>
      <c r="K57" s="99" t="s">
        <v>1352</v>
      </c>
      <c r="L57" s="68" t="s">
        <v>664</v>
      </c>
      <c r="M57" s="95" t="s">
        <v>1660</v>
      </c>
      <c r="N57" s="92" t="s">
        <v>14</v>
      </c>
      <c r="O57" s="95" t="s">
        <v>1320</v>
      </c>
    </row>
    <row r="58" spans="1:17" ht="39" thickBot="1" x14ac:dyDescent="0.25">
      <c r="A58" s="96" t="s">
        <v>838</v>
      </c>
      <c r="B58" s="92" t="s">
        <v>1679</v>
      </c>
      <c r="C58" s="96">
        <f>2.79+0.03</f>
        <v>2.82</v>
      </c>
      <c r="D58" s="128">
        <f>270479.88+13494.91</f>
        <v>283974.78999999998</v>
      </c>
      <c r="E58" s="101">
        <f t="shared" si="16"/>
        <v>6.5202246433789498E-3</v>
      </c>
      <c r="F58" s="102" t="s">
        <v>1625</v>
      </c>
      <c r="G58" s="103">
        <v>2.82</v>
      </c>
      <c r="H58" s="130">
        <f>253575.45+9281.61</f>
        <v>262857.06</v>
      </c>
      <c r="I58" s="101">
        <f t="shared" si="17"/>
        <v>6.2187642196366213E-3</v>
      </c>
      <c r="J58" s="110" t="s">
        <v>1625</v>
      </c>
      <c r="K58" s="99" t="s">
        <v>1326</v>
      </c>
      <c r="L58" s="68" t="s">
        <v>664</v>
      </c>
      <c r="M58" s="95" t="s">
        <v>1660</v>
      </c>
      <c r="N58" s="92" t="s">
        <v>14</v>
      </c>
      <c r="O58" s="95" t="s">
        <v>1320</v>
      </c>
    </row>
    <row r="59" spans="1:17" ht="90" thickBot="1" x14ac:dyDescent="0.25">
      <c r="A59" s="96" t="s">
        <v>839</v>
      </c>
      <c r="B59" s="92" t="s">
        <v>1679</v>
      </c>
      <c r="C59" s="103">
        <f>1.28+0.03</f>
        <v>1.31</v>
      </c>
      <c r="D59" s="128">
        <f>162287.93+13494.91</f>
        <v>175782.84</v>
      </c>
      <c r="E59" s="101">
        <f t="shared" si="16"/>
        <v>4.0360751926293847E-3</v>
      </c>
      <c r="F59" s="102" t="s">
        <v>1625</v>
      </c>
      <c r="G59" s="103">
        <v>1.31</v>
      </c>
      <c r="H59" s="130">
        <f>152145.27+9281.61</f>
        <v>161426.88</v>
      </c>
      <c r="I59" s="101">
        <f t="shared" si="17"/>
        <v>3.8190935614648303E-3</v>
      </c>
      <c r="J59" s="110" t="s">
        <v>1625</v>
      </c>
      <c r="K59" s="99" t="s">
        <v>1321</v>
      </c>
      <c r="L59" s="68" t="s">
        <v>664</v>
      </c>
      <c r="M59" s="95" t="s">
        <v>1661</v>
      </c>
      <c r="N59" s="92" t="s">
        <v>15</v>
      </c>
      <c r="O59" s="95" t="s">
        <v>1327</v>
      </c>
    </row>
    <row r="60" spans="1:17" ht="15.75" customHeight="1" thickBot="1" x14ac:dyDescent="0.25">
      <c r="A60" s="367" t="s">
        <v>840</v>
      </c>
      <c r="B60" s="359"/>
      <c r="C60" s="359"/>
      <c r="D60" s="359"/>
      <c r="E60" s="359"/>
      <c r="F60" s="359"/>
      <c r="G60" s="359"/>
      <c r="H60" s="359"/>
      <c r="I60" s="359"/>
      <c r="J60" s="359"/>
      <c r="K60" s="359"/>
      <c r="L60" s="359"/>
      <c r="M60" s="359"/>
      <c r="N60" s="359"/>
      <c r="O60" s="360"/>
    </row>
    <row r="61" spans="1:17" ht="39" thickBot="1" x14ac:dyDescent="0.25">
      <c r="A61" s="96" t="s">
        <v>841</v>
      </c>
      <c r="B61" s="92" t="s">
        <v>1680</v>
      </c>
      <c r="C61" s="96">
        <f>1.18+0.03</f>
        <v>1.21</v>
      </c>
      <c r="D61" s="128">
        <f>216383.9+13494.91</f>
        <v>229878.81</v>
      </c>
      <c r="E61" s="101">
        <f t="shared" ref="E61:E64" si="18">D61/$D$9</f>
        <v>5.2781498032012895E-3</v>
      </c>
      <c r="F61" s="102" t="s">
        <v>1625</v>
      </c>
      <c r="G61" s="103">
        <v>1.21</v>
      </c>
      <c r="H61" s="130">
        <f>202860.36+9281.61</f>
        <v>212141.96999999997</v>
      </c>
      <c r="I61" s="101">
        <f t="shared" ref="I61:I64" si="19">H61/$H$9</f>
        <v>5.0189288905507249E-3</v>
      </c>
      <c r="J61" s="110" t="s">
        <v>1625</v>
      </c>
      <c r="K61" s="99" t="s">
        <v>1322</v>
      </c>
      <c r="L61" s="68" t="s">
        <v>664</v>
      </c>
      <c r="M61" s="95" t="s">
        <v>1731</v>
      </c>
      <c r="N61" s="92" t="s">
        <v>14</v>
      </c>
      <c r="O61" s="163" t="s">
        <v>1664</v>
      </c>
    </row>
    <row r="62" spans="1:17" ht="64.5" thickBot="1" x14ac:dyDescent="0.25">
      <c r="A62" s="96" t="s">
        <v>1183</v>
      </c>
      <c r="B62" s="92" t="s">
        <v>1681</v>
      </c>
      <c r="C62" s="96">
        <f>1.88+0.03</f>
        <v>1.91</v>
      </c>
      <c r="D62" s="128">
        <f>108191.95+13494.91</f>
        <v>121686.86</v>
      </c>
      <c r="E62" s="101">
        <f t="shared" si="18"/>
        <v>2.7940003524517237E-3</v>
      </c>
      <c r="F62" s="102" t="s">
        <v>1625</v>
      </c>
      <c r="G62" s="103">
        <v>1.91</v>
      </c>
      <c r="H62" s="130">
        <f>101430.18+9281.61</f>
        <v>110711.79</v>
      </c>
      <c r="I62" s="101">
        <f t="shared" si="19"/>
        <v>2.6192582323789344E-3</v>
      </c>
      <c r="J62" s="110" t="s">
        <v>1625</v>
      </c>
      <c r="K62" s="99" t="s">
        <v>1323</v>
      </c>
      <c r="L62" s="68" t="s">
        <v>664</v>
      </c>
      <c r="M62" s="95" t="s">
        <v>1662</v>
      </c>
      <c r="N62" s="92" t="s">
        <v>14</v>
      </c>
      <c r="O62" s="95" t="s">
        <v>1664</v>
      </c>
    </row>
    <row r="63" spans="1:17" ht="58.5" customHeight="1" thickBot="1" x14ac:dyDescent="0.25">
      <c r="A63" s="96" t="s">
        <v>1193</v>
      </c>
      <c r="B63" s="92" t="s">
        <v>1679</v>
      </c>
      <c r="C63" s="96">
        <f>0.93+0.03</f>
        <v>0.96000000000000008</v>
      </c>
      <c r="D63" s="128">
        <f>108191.95+13494.91</f>
        <v>121686.86</v>
      </c>
      <c r="E63" s="101">
        <f t="shared" si="18"/>
        <v>2.7940003524517237E-3</v>
      </c>
      <c r="F63" s="102" t="s">
        <v>1625</v>
      </c>
      <c r="G63" s="103">
        <v>0.96</v>
      </c>
      <c r="H63" s="130">
        <f>101430.18+9281.61</f>
        <v>110711.79</v>
      </c>
      <c r="I63" s="101">
        <f t="shared" si="19"/>
        <v>2.6192582323789344E-3</v>
      </c>
      <c r="J63" s="110" t="s">
        <v>1625</v>
      </c>
      <c r="K63" s="99" t="s">
        <v>1324</v>
      </c>
      <c r="L63" s="68" t="s">
        <v>664</v>
      </c>
      <c r="M63" s="163" t="s">
        <v>1662</v>
      </c>
      <c r="N63" s="92" t="s">
        <v>14</v>
      </c>
      <c r="O63" s="163" t="s">
        <v>1664</v>
      </c>
    </row>
    <row r="64" spans="1:17" ht="54.75" customHeight="1" thickBot="1" x14ac:dyDescent="0.25">
      <c r="A64" s="96" t="s">
        <v>1184</v>
      </c>
      <c r="B64" s="104" t="s">
        <v>1682</v>
      </c>
      <c r="C64" s="96">
        <f>1.43+0.03</f>
        <v>1.46</v>
      </c>
      <c r="D64" s="128">
        <f>54095.98+13494.91</f>
        <v>67590.89</v>
      </c>
      <c r="E64" s="101">
        <f t="shared" si="18"/>
        <v>1.5519257418798191E-3</v>
      </c>
      <c r="F64" s="102" t="s">
        <v>1625</v>
      </c>
      <c r="G64" s="103">
        <v>1.46</v>
      </c>
      <c r="H64" s="130">
        <f>50715.09+9281.61</f>
        <v>59996.7</v>
      </c>
      <c r="I64" s="101">
        <f t="shared" si="19"/>
        <v>1.4194229032930387E-3</v>
      </c>
      <c r="J64" s="110" t="s">
        <v>1625</v>
      </c>
      <c r="K64" s="99" t="s">
        <v>1325</v>
      </c>
      <c r="L64" s="68" t="s">
        <v>664</v>
      </c>
      <c r="M64" s="163" t="s">
        <v>1662</v>
      </c>
      <c r="N64" s="104" t="s">
        <v>14</v>
      </c>
      <c r="O64" s="106" t="s">
        <v>1664</v>
      </c>
      <c r="Q64" s="27">
        <f>SUM(C18:C30)</f>
        <v>73.330000000000013</v>
      </c>
    </row>
    <row r="65" spans="1:17" ht="18.75" customHeight="1" thickBot="1" x14ac:dyDescent="0.25">
      <c r="A65" s="368" t="s">
        <v>1174</v>
      </c>
      <c r="B65" s="369"/>
      <c r="C65" s="369"/>
      <c r="D65" s="369"/>
      <c r="E65" s="369"/>
      <c r="F65" s="369"/>
      <c r="G65" s="369"/>
      <c r="H65" s="369"/>
      <c r="I65" s="369"/>
      <c r="J65" s="369"/>
      <c r="K65" s="369"/>
      <c r="L65" s="369"/>
      <c r="M65" s="369"/>
      <c r="N65" s="369"/>
      <c r="O65" s="370"/>
    </row>
    <row r="66" spans="1:17" ht="77.25" thickBot="1" x14ac:dyDescent="0.25">
      <c r="A66" s="96" t="s">
        <v>842</v>
      </c>
      <c r="B66" s="92" t="s">
        <v>1159</v>
      </c>
      <c r="C66" s="96">
        <f>1.9+0.03</f>
        <v>1.93</v>
      </c>
      <c r="D66" s="128">
        <f>185791.54+13494.91</f>
        <v>199286.45</v>
      </c>
      <c r="E66" s="101">
        <f t="shared" ref="E66:E69" si="20">D66/$D$9</f>
        <v>4.5757316076596348E-3</v>
      </c>
      <c r="F66" s="102" t="s">
        <v>1626</v>
      </c>
      <c r="G66" s="103">
        <v>1.93</v>
      </c>
      <c r="H66" s="130">
        <f>187814.4+9281.61</f>
        <v>197096.01</v>
      </c>
      <c r="I66" s="101">
        <f t="shared" ref="I66:I69" si="21">H66/$H$9</f>
        <v>4.6629663088415497E-3</v>
      </c>
      <c r="J66" s="134" t="s">
        <v>1627</v>
      </c>
      <c r="K66" s="99" t="s">
        <v>1273</v>
      </c>
      <c r="L66" s="68" t="s">
        <v>663</v>
      </c>
      <c r="M66" s="95" t="s">
        <v>1732</v>
      </c>
      <c r="N66" s="92" t="s">
        <v>14</v>
      </c>
      <c r="O66" s="95" t="s">
        <v>1265</v>
      </c>
    </row>
    <row r="67" spans="1:17" ht="124.9" customHeight="1" thickBot="1" x14ac:dyDescent="0.25">
      <c r="A67" s="96" t="s">
        <v>843</v>
      </c>
      <c r="B67" s="92" t="s">
        <v>1160</v>
      </c>
      <c r="C67" s="96">
        <f>0.06+0.03</f>
        <v>0.09</v>
      </c>
      <c r="D67" s="128">
        <f>4644.79+13494.91</f>
        <v>18139.7</v>
      </c>
      <c r="E67" s="101">
        <f t="shared" si="20"/>
        <v>4.164979537919586E-4</v>
      </c>
      <c r="F67" s="102" t="s">
        <v>1626</v>
      </c>
      <c r="G67" s="103">
        <v>0.09</v>
      </c>
      <c r="H67" s="130">
        <f>4695.36+9281.61</f>
        <v>13976.970000000001</v>
      </c>
      <c r="I67" s="101">
        <f t="shared" si="21"/>
        <v>3.3067204257300329E-4</v>
      </c>
      <c r="J67" s="134" t="s">
        <v>1627</v>
      </c>
      <c r="K67" s="99"/>
      <c r="L67" s="68" t="s">
        <v>663</v>
      </c>
      <c r="M67" s="95" t="s">
        <v>1732</v>
      </c>
      <c r="N67" s="92" t="s">
        <v>14</v>
      </c>
      <c r="O67" s="95" t="s">
        <v>1274</v>
      </c>
    </row>
    <row r="68" spans="1:17" ht="50.25" customHeight="1" thickBot="1" x14ac:dyDescent="0.25">
      <c r="A68" s="96" t="s">
        <v>1216</v>
      </c>
      <c r="B68" s="92" t="s">
        <v>1161</v>
      </c>
      <c r="C68" s="96">
        <f>0.07+0.03</f>
        <v>0.1</v>
      </c>
      <c r="D68" s="128">
        <f>4644.79+13494.91</f>
        <v>18139.7</v>
      </c>
      <c r="E68" s="101">
        <f t="shared" si="20"/>
        <v>4.164979537919586E-4</v>
      </c>
      <c r="F68" s="102" t="s">
        <v>1626</v>
      </c>
      <c r="G68" s="103">
        <v>0.1</v>
      </c>
      <c r="H68" s="130">
        <f>4695.36+9281.61</f>
        <v>13976.970000000001</v>
      </c>
      <c r="I68" s="101">
        <f t="shared" si="21"/>
        <v>3.3067204257300329E-4</v>
      </c>
      <c r="J68" s="134" t="s">
        <v>1627</v>
      </c>
      <c r="K68" s="99" t="s">
        <v>1275</v>
      </c>
      <c r="L68" s="68" t="s">
        <v>663</v>
      </c>
      <c r="M68" s="95" t="s">
        <v>1732</v>
      </c>
      <c r="N68" s="92" t="s">
        <v>14</v>
      </c>
      <c r="O68" s="95"/>
    </row>
    <row r="69" spans="1:17" ht="85.9" customHeight="1" thickBot="1" x14ac:dyDescent="0.25">
      <c r="A69" s="96" t="s">
        <v>845</v>
      </c>
      <c r="B69" s="92" t="s">
        <v>1162</v>
      </c>
      <c r="C69" s="96">
        <f>0.37+0.03</f>
        <v>0.4</v>
      </c>
      <c r="D69" s="128">
        <f>37158.31+13494.91</f>
        <v>50653.22</v>
      </c>
      <c r="E69" s="101">
        <f t="shared" si="20"/>
        <v>1.1630270888148048E-3</v>
      </c>
      <c r="F69" s="102" t="s">
        <v>1626</v>
      </c>
      <c r="G69" s="103">
        <v>0.4</v>
      </c>
      <c r="H69" s="130">
        <f>37562.88+9281.61</f>
        <v>46844.49</v>
      </c>
      <c r="I69" s="101">
        <f t="shared" si="21"/>
        <v>1.1082633211340243E-3</v>
      </c>
      <c r="J69" s="134" t="s">
        <v>1627</v>
      </c>
      <c r="K69" s="99" t="s">
        <v>1276</v>
      </c>
      <c r="L69" s="68" t="s">
        <v>663</v>
      </c>
      <c r="M69" s="95" t="s">
        <v>1732</v>
      </c>
      <c r="N69" s="92" t="s">
        <v>14</v>
      </c>
      <c r="O69" s="95" t="s">
        <v>1274</v>
      </c>
    </row>
    <row r="70" spans="1:17" ht="18" customHeight="1" thickBot="1" x14ac:dyDescent="0.25">
      <c r="A70" s="367" t="s">
        <v>846</v>
      </c>
      <c r="B70" s="359"/>
      <c r="C70" s="359"/>
      <c r="D70" s="359"/>
      <c r="E70" s="359"/>
      <c r="F70" s="359"/>
      <c r="G70" s="359"/>
      <c r="H70" s="359"/>
      <c r="I70" s="359"/>
      <c r="J70" s="359"/>
      <c r="K70" s="359"/>
      <c r="L70" s="359"/>
      <c r="M70" s="359"/>
      <c r="N70" s="359"/>
      <c r="O70" s="360"/>
    </row>
    <row r="71" spans="1:17" ht="51.75" thickBot="1" x14ac:dyDescent="0.25">
      <c r="A71" s="96" t="s">
        <v>1221</v>
      </c>
      <c r="B71" s="92" t="s">
        <v>1683</v>
      </c>
      <c r="C71" s="96">
        <f>1.04+0.03</f>
        <v>1.07</v>
      </c>
      <c r="D71" s="128">
        <f>190561.57+13494.91</f>
        <v>204056.48</v>
      </c>
      <c r="E71" s="101">
        <f t="shared" ref="E71:E73" si="22">D71/$D$9</f>
        <v>4.6852542422415877E-3</v>
      </c>
      <c r="F71" s="102" t="s">
        <v>1623</v>
      </c>
      <c r="G71" s="103">
        <v>1.07</v>
      </c>
      <c r="H71" s="130">
        <f>226835.55+9281.61</f>
        <v>236117.15999999997</v>
      </c>
      <c r="I71" s="101">
        <f t="shared" ref="I71:I73" si="23">H71/$H$9</f>
        <v>5.5861423172358969E-3</v>
      </c>
      <c r="J71" s="134" t="s">
        <v>1624</v>
      </c>
      <c r="K71" s="99" t="s">
        <v>1223</v>
      </c>
      <c r="L71" s="68" t="s">
        <v>662</v>
      </c>
      <c r="M71" s="95" t="s">
        <v>1270</v>
      </c>
      <c r="N71" s="92" t="s">
        <v>14</v>
      </c>
      <c r="O71" s="95" t="s">
        <v>1271</v>
      </c>
    </row>
    <row r="72" spans="1:17" ht="51.75" thickBot="1" x14ac:dyDescent="0.25">
      <c r="A72" s="96" t="s">
        <v>1222</v>
      </c>
      <c r="B72" s="92" t="s">
        <v>1684</v>
      </c>
      <c r="C72" s="140">
        <f>4.1+0.03</f>
        <v>4.13</v>
      </c>
      <c r="D72" s="141">
        <f>190561.57+13494.91</f>
        <v>204056.48</v>
      </c>
      <c r="E72" s="101">
        <f t="shared" si="22"/>
        <v>4.6852542422415877E-3</v>
      </c>
      <c r="F72" s="142" t="s">
        <v>1623</v>
      </c>
      <c r="G72" s="143">
        <v>4.13</v>
      </c>
      <c r="H72" s="144">
        <f>226835.55+9281.61</f>
        <v>236117.15999999997</v>
      </c>
      <c r="I72" s="101">
        <f t="shared" si="23"/>
        <v>5.5861423172358969E-3</v>
      </c>
      <c r="J72" s="145" t="s">
        <v>1624</v>
      </c>
      <c r="K72" s="99" t="s">
        <v>1225</v>
      </c>
      <c r="L72" s="68" t="s">
        <v>662</v>
      </c>
      <c r="M72" s="95" t="s">
        <v>1270</v>
      </c>
      <c r="N72" s="92" t="s">
        <v>14</v>
      </c>
      <c r="O72" s="95" t="s">
        <v>1271</v>
      </c>
    </row>
    <row r="73" spans="1:17" ht="51.75" thickBot="1" x14ac:dyDescent="0.25">
      <c r="A73" s="96" t="s">
        <v>847</v>
      </c>
      <c r="B73" s="115" t="s">
        <v>1685</v>
      </c>
      <c r="C73" s="146">
        <f>1.44+0.03</f>
        <v>1.47</v>
      </c>
      <c r="D73" s="147">
        <f>190561.57+13494.91</f>
        <v>204056.48</v>
      </c>
      <c r="E73" s="101">
        <f t="shared" si="22"/>
        <v>4.6852542422415877E-3</v>
      </c>
      <c r="F73" s="146" t="s">
        <v>1623</v>
      </c>
      <c r="G73" s="146">
        <v>1.47</v>
      </c>
      <c r="H73" s="147">
        <f>226835.55+9281.61</f>
        <v>236117.15999999997</v>
      </c>
      <c r="I73" s="101">
        <f t="shared" si="23"/>
        <v>5.5861423172358969E-3</v>
      </c>
      <c r="J73" s="148" t="s">
        <v>1624</v>
      </c>
      <c r="K73" s="115" t="s">
        <v>1272</v>
      </c>
      <c r="L73" s="68" t="s">
        <v>662</v>
      </c>
      <c r="M73" s="100" t="s">
        <v>1270</v>
      </c>
      <c r="N73" s="95" t="s">
        <v>14</v>
      </c>
      <c r="O73" s="95" t="s">
        <v>1271</v>
      </c>
      <c r="P73" s="27" t="s">
        <v>584</v>
      </c>
      <c r="Q73" s="27" t="s">
        <v>584</v>
      </c>
    </row>
    <row r="74" spans="1:17" ht="21" customHeight="1" x14ac:dyDescent="0.2">
      <c r="A74" s="364" t="s">
        <v>1217</v>
      </c>
      <c r="B74" s="365"/>
      <c r="C74" s="365"/>
      <c r="D74" s="365"/>
      <c r="E74" s="365"/>
      <c r="F74" s="365"/>
      <c r="G74" s="365"/>
      <c r="H74" s="365"/>
      <c r="I74" s="365"/>
      <c r="J74" s="365"/>
      <c r="K74" s="365"/>
      <c r="L74" s="365"/>
      <c r="M74" s="365"/>
      <c r="N74" s="365"/>
      <c r="O74" s="366"/>
    </row>
    <row r="75" spans="1:17" ht="15" customHeight="1" thickBot="1" x14ac:dyDescent="0.25">
      <c r="A75" s="367" t="s">
        <v>1218</v>
      </c>
      <c r="B75" s="359"/>
      <c r="C75" s="359"/>
      <c r="D75" s="359"/>
      <c r="E75" s="359"/>
      <c r="F75" s="359"/>
      <c r="G75" s="359"/>
      <c r="H75" s="359"/>
      <c r="I75" s="359"/>
      <c r="J75" s="359"/>
      <c r="K75" s="359"/>
      <c r="L75" s="359"/>
      <c r="M75" s="359"/>
      <c r="N75" s="359"/>
      <c r="O75" s="360"/>
    </row>
    <row r="76" spans="1:17" ht="77.25" thickBot="1" x14ac:dyDescent="0.25">
      <c r="A76" s="96" t="s">
        <v>849</v>
      </c>
      <c r="B76" s="115" t="s">
        <v>1163</v>
      </c>
      <c r="C76" s="119">
        <f>1.9+0.03</f>
        <v>1.93</v>
      </c>
      <c r="D76" s="149">
        <f>160937.27+13494.91</f>
        <v>174432.18</v>
      </c>
      <c r="E76" s="150">
        <f t="shared" ref="E76:E79" si="24">D76/$D$9</f>
        <v>4.0050632615462548E-3</v>
      </c>
      <c r="F76" s="115" t="s">
        <v>1628</v>
      </c>
      <c r="G76" s="115">
        <v>1.93</v>
      </c>
      <c r="H76" s="149">
        <f>175963.8+9281.61</f>
        <v>185245.40999999997</v>
      </c>
      <c r="I76" s="150">
        <f>H76/$H$9</f>
        <v>4.3826006711020649E-3</v>
      </c>
      <c r="J76" s="151" t="s">
        <v>1628</v>
      </c>
      <c r="K76" s="115" t="s">
        <v>1277</v>
      </c>
      <c r="L76" s="68" t="s">
        <v>663</v>
      </c>
      <c r="M76" s="115" t="s">
        <v>1733</v>
      </c>
      <c r="N76" s="115" t="s">
        <v>14</v>
      </c>
      <c r="O76" s="157" t="s">
        <v>1665</v>
      </c>
    </row>
    <row r="77" spans="1:17" ht="51.75" thickBot="1" x14ac:dyDescent="0.25">
      <c r="A77" s="96" t="s">
        <v>1195</v>
      </c>
      <c r="B77" s="95" t="s">
        <v>1164</v>
      </c>
      <c r="C77" s="95">
        <f>2.5+0.03</f>
        <v>2.5299999999999998</v>
      </c>
      <c r="D77" s="128">
        <f>202920.9+13494.91</f>
        <v>216415.81</v>
      </c>
      <c r="E77" s="150">
        <f t="shared" si="24"/>
        <v>4.9690315734675482E-3</v>
      </c>
      <c r="F77" s="95" t="s">
        <v>1628</v>
      </c>
      <c r="G77" s="95">
        <v>3.53</v>
      </c>
      <c r="H77" s="128">
        <f>221867.4+9281.61</f>
        <v>231149.01</v>
      </c>
      <c r="I77" s="150">
        <f>H77/$H$9</f>
        <v>5.4686040876833503E-3</v>
      </c>
      <c r="J77" s="109" t="s">
        <v>1628</v>
      </c>
      <c r="K77" s="95" t="s">
        <v>1278</v>
      </c>
      <c r="L77" s="68" t="s">
        <v>663</v>
      </c>
      <c r="M77" s="95" t="s">
        <v>1734</v>
      </c>
      <c r="N77" s="95" t="s">
        <v>14</v>
      </c>
      <c r="O77" s="163" t="s">
        <v>1664</v>
      </c>
    </row>
    <row r="78" spans="1:17" ht="51.75" thickBot="1" x14ac:dyDescent="0.25">
      <c r="A78" s="96" t="s">
        <v>1196</v>
      </c>
      <c r="B78" s="95" t="s">
        <v>1165</v>
      </c>
      <c r="C78" s="95">
        <f>1.15+0.03</f>
        <v>1.18</v>
      </c>
      <c r="D78" s="128">
        <f>97961.81+13494.91</f>
        <v>111456.72</v>
      </c>
      <c r="E78" s="150">
        <f t="shared" si="24"/>
        <v>2.5591104492556807E-3</v>
      </c>
      <c r="F78" s="95" t="s">
        <v>1628</v>
      </c>
      <c r="G78" s="95">
        <v>1.18</v>
      </c>
      <c r="H78" s="128">
        <f>107108.4+9281.61</f>
        <v>116390.01</v>
      </c>
      <c r="I78" s="150">
        <f>H78/$H$9</f>
        <v>2.7535955462301394E-3</v>
      </c>
      <c r="J78" s="109" t="s">
        <v>1628</v>
      </c>
      <c r="K78" s="95" t="s">
        <v>1279</v>
      </c>
      <c r="L78" s="68" t="s">
        <v>663</v>
      </c>
      <c r="M78" s="95" t="s">
        <v>1733</v>
      </c>
      <c r="N78" s="95" t="s">
        <v>14</v>
      </c>
      <c r="O78" s="163" t="s">
        <v>1665</v>
      </c>
    </row>
    <row r="79" spans="1:17" ht="39" thickBot="1" x14ac:dyDescent="0.25">
      <c r="A79" s="96" t="s">
        <v>1197</v>
      </c>
      <c r="B79" s="95" t="s">
        <v>1163</v>
      </c>
      <c r="C79" s="95">
        <f>3.05+0.03</f>
        <v>3.0799999999999996</v>
      </c>
      <c r="D79" s="128">
        <f>237907.26+13494.91</f>
        <v>251402.17</v>
      </c>
      <c r="E79" s="150">
        <f t="shared" si="24"/>
        <v>5.7723385383362524E-3</v>
      </c>
      <c r="F79" s="95" t="s">
        <v>1628</v>
      </c>
      <c r="G79" s="95">
        <v>3.08</v>
      </c>
      <c r="H79" s="128">
        <f>260120.4+9281.61</f>
        <v>269402.01</v>
      </c>
      <c r="I79" s="150">
        <f>H79/$H$9</f>
        <v>6.3736069348344204E-3</v>
      </c>
      <c r="J79" s="109" t="s">
        <v>1628</v>
      </c>
      <c r="K79" s="95" t="s">
        <v>1280</v>
      </c>
      <c r="L79" s="68" t="s">
        <v>663</v>
      </c>
      <c r="M79" s="95" t="s">
        <v>1733</v>
      </c>
      <c r="N79" s="95" t="s">
        <v>14</v>
      </c>
      <c r="O79" s="163" t="s">
        <v>1665</v>
      </c>
      <c r="Q79" s="27" t="s">
        <v>584</v>
      </c>
    </row>
    <row r="80" spans="1:17" ht="24.75" customHeight="1" x14ac:dyDescent="0.2">
      <c r="A80" s="364" t="s">
        <v>850</v>
      </c>
      <c r="B80" s="365"/>
      <c r="C80" s="365"/>
      <c r="D80" s="365"/>
      <c r="E80" s="365"/>
      <c r="F80" s="365"/>
      <c r="G80" s="365"/>
      <c r="H80" s="365"/>
      <c r="I80" s="365"/>
      <c r="J80" s="365"/>
      <c r="K80" s="365"/>
      <c r="L80" s="365"/>
      <c r="M80" s="365"/>
      <c r="N80" s="365"/>
      <c r="O80" s="366"/>
    </row>
    <row r="81" spans="1:15" ht="7.9" hidden="1" customHeight="1" x14ac:dyDescent="0.2">
      <c r="A81" s="152"/>
      <c r="B81" s="95"/>
      <c r="C81" s="95"/>
      <c r="D81" s="95"/>
      <c r="E81" s="101"/>
      <c r="F81" s="95"/>
      <c r="G81" s="95"/>
      <c r="H81" s="95"/>
      <c r="I81" s="101"/>
      <c r="J81" s="95"/>
      <c r="K81" s="95"/>
      <c r="L81" s="95"/>
      <c r="M81" s="95"/>
      <c r="N81" s="95"/>
      <c r="O81" s="95"/>
    </row>
    <row r="82" spans="1:15" ht="0.75" hidden="1" customHeight="1" x14ac:dyDescent="0.2">
      <c r="A82" s="153" t="s">
        <v>851</v>
      </c>
      <c r="B82" s="95"/>
      <c r="C82" s="95"/>
      <c r="D82" s="95"/>
      <c r="E82" s="101"/>
      <c r="F82" s="95"/>
      <c r="G82" s="95"/>
      <c r="H82" s="95"/>
      <c r="I82" s="101"/>
      <c r="J82" s="95"/>
      <c r="K82" s="95"/>
      <c r="L82" s="95"/>
      <c r="M82" s="95"/>
      <c r="N82" s="95"/>
      <c r="O82" s="95"/>
    </row>
    <row r="83" spans="1:15" ht="22.5" customHeight="1" x14ac:dyDescent="0.2">
      <c r="A83" s="358" t="s">
        <v>1146</v>
      </c>
      <c r="B83" s="359"/>
      <c r="C83" s="359"/>
      <c r="D83" s="359"/>
      <c r="E83" s="359"/>
      <c r="F83" s="359"/>
      <c r="G83" s="359"/>
      <c r="H83" s="359"/>
      <c r="I83" s="359"/>
      <c r="J83" s="359"/>
      <c r="K83" s="359"/>
      <c r="L83" s="359"/>
      <c r="M83" s="359"/>
      <c r="N83" s="359"/>
      <c r="O83" s="360"/>
    </row>
    <row r="84" spans="1:15" ht="89.25" x14ac:dyDescent="0.2">
      <c r="A84" s="115" t="s">
        <v>1199</v>
      </c>
      <c r="B84" s="95" t="s">
        <v>1114</v>
      </c>
      <c r="C84" s="95">
        <f>15.15+0.03</f>
        <v>15.18</v>
      </c>
      <c r="D84" s="128">
        <f>1030030.56+13494.91</f>
        <v>1043525.4700000001</v>
      </c>
      <c r="E84" s="150">
        <f t="shared" ref="E84:E85" si="25">D84/$D$9</f>
        <v>2.3959945477863023E-2</v>
      </c>
      <c r="F84" s="95" t="s">
        <v>1626</v>
      </c>
      <c r="G84" s="95">
        <v>17.18</v>
      </c>
      <c r="H84" s="128">
        <f>1039812.15+9281.61</f>
        <v>1049093.76</v>
      </c>
      <c r="I84" s="150">
        <f t="shared" ref="I84:I85" si="26">H84/$H$9</f>
        <v>2.4819826934578241E-2</v>
      </c>
      <c r="J84" s="109" t="s">
        <v>1626</v>
      </c>
      <c r="K84" s="95" t="s">
        <v>1115</v>
      </c>
      <c r="L84" s="95" t="s">
        <v>659</v>
      </c>
      <c r="M84" s="95" t="s">
        <v>1344</v>
      </c>
      <c r="N84" s="95" t="s">
        <v>14</v>
      </c>
      <c r="O84" s="95" t="s">
        <v>1117</v>
      </c>
    </row>
    <row r="85" spans="1:15" ht="89.25" x14ac:dyDescent="0.2">
      <c r="A85" s="115" t="s">
        <v>975</v>
      </c>
      <c r="B85" s="95" t="s">
        <v>1114</v>
      </c>
      <c r="C85" s="95">
        <f>5.35+0.03</f>
        <v>5.38</v>
      </c>
      <c r="D85" s="128">
        <f>352560.8+13494.91</f>
        <v>366055.70999999996</v>
      </c>
      <c r="E85" s="150">
        <f t="shared" si="25"/>
        <v>8.4048498149838519E-3</v>
      </c>
      <c r="F85" s="95" t="s">
        <v>1626</v>
      </c>
      <c r="G85" s="95">
        <v>7.38</v>
      </c>
      <c r="H85" s="128">
        <f>355908.86+9281.61</f>
        <v>365190.47</v>
      </c>
      <c r="I85" s="150">
        <f t="shared" si="26"/>
        <v>8.6398038089153129E-3</v>
      </c>
      <c r="J85" s="109" t="s">
        <v>1626</v>
      </c>
      <c r="K85" s="95" t="s">
        <v>1116</v>
      </c>
      <c r="L85" s="95" t="s">
        <v>659</v>
      </c>
      <c r="M85" s="95" t="s">
        <v>1344</v>
      </c>
      <c r="N85" s="95" t="s">
        <v>14</v>
      </c>
      <c r="O85" s="95" t="s">
        <v>1117</v>
      </c>
    </row>
    <row r="86" spans="1:15" ht="18" customHeight="1" x14ac:dyDescent="0.2">
      <c r="A86" s="358" t="s">
        <v>1219</v>
      </c>
      <c r="B86" s="359"/>
      <c r="C86" s="359"/>
      <c r="D86" s="359"/>
      <c r="E86" s="359"/>
      <c r="F86" s="359"/>
      <c r="G86" s="359"/>
      <c r="H86" s="359"/>
      <c r="I86" s="359"/>
      <c r="J86" s="359"/>
      <c r="K86" s="359"/>
      <c r="L86" s="359"/>
      <c r="M86" s="359"/>
      <c r="N86" s="359"/>
      <c r="O86" s="360"/>
    </row>
    <row r="87" spans="1:15" ht="153.75" thickBot="1" x14ac:dyDescent="0.25">
      <c r="A87" s="115" t="s">
        <v>1200</v>
      </c>
      <c r="B87" s="95" t="s">
        <v>1686</v>
      </c>
      <c r="C87" s="95">
        <f>8.45+0.03</f>
        <v>8.4799999999999986</v>
      </c>
      <c r="D87" s="128">
        <f>475346.97+13494.91</f>
        <v>488841.87999999995</v>
      </c>
      <c r="E87" s="150">
        <f t="shared" ref="E87:E88" si="27">D87/$D$9</f>
        <v>1.12240909578336E-2</v>
      </c>
      <c r="F87" s="95" t="s">
        <v>1626</v>
      </c>
      <c r="G87" s="95">
        <v>9.48</v>
      </c>
      <c r="H87" s="128">
        <f>491706.5+9281.61</f>
        <v>500988.11</v>
      </c>
      <c r="I87" s="150">
        <f t="shared" ref="I87:I88" si="28">H87/$H$9</f>
        <v>1.1852551850543317E-2</v>
      </c>
      <c r="J87" s="109" t="s">
        <v>1626</v>
      </c>
      <c r="K87" s="27" t="s">
        <v>1337</v>
      </c>
      <c r="L87" s="95" t="s">
        <v>1338</v>
      </c>
      <c r="M87" s="95" t="s">
        <v>1342</v>
      </c>
      <c r="N87" s="95" t="s">
        <v>14</v>
      </c>
      <c r="O87" s="95" t="s">
        <v>1265</v>
      </c>
    </row>
    <row r="88" spans="1:15" ht="51.75" thickBot="1" x14ac:dyDescent="0.25">
      <c r="A88" s="115" t="s">
        <v>853</v>
      </c>
      <c r="B88" s="95" t="s">
        <v>1687</v>
      </c>
      <c r="C88" s="95">
        <f>2.05+0.03</f>
        <v>2.0799999999999996</v>
      </c>
      <c r="D88" s="128">
        <f>475346.97+13494.91</f>
        <v>488841.87999999995</v>
      </c>
      <c r="E88" s="150">
        <f t="shared" si="27"/>
        <v>1.12240909578336E-2</v>
      </c>
      <c r="F88" s="95" t="s">
        <v>1626</v>
      </c>
      <c r="G88" s="95">
        <v>2.08</v>
      </c>
      <c r="H88" s="128">
        <f>491706.5+9281.61</f>
        <v>500988.11</v>
      </c>
      <c r="I88" s="150">
        <f t="shared" si="28"/>
        <v>1.1852551850543317E-2</v>
      </c>
      <c r="J88" s="109" t="s">
        <v>1626</v>
      </c>
      <c r="K88" s="95" t="s">
        <v>1336</v>
      </c>
      <c r="L88" s="68" t="s">
        <v>659</v>
      </c>
      <c r="M88" s="163" t="s">
        <v>1342</v>
      </c>
      <c r="N88" s="95" t="s">
        <v>14</v>
      </c>
      <c r="O88" s="95" t="s">
        <v>1689</v>
      </c>
    </row>
    <row r="89" spans="1:15" ht="15" customHeight="1" x14ac:dyDescent="0.2">
      <c r="A89" s="358" t="s">
        <v>1220</v>
      </c>
      <c r="B89" s="359"/>
      <c r="C89" s="359"/>
      <c r="D89" s="359"/>
      <c r="E89" s="359"/>
      <c r="F89" s="359"/>
      <c r="G89" s="359"/>
      <c r="H89" s="359"/>
      <c r="I89" s="359"/>
      <c r="J89" s="359"/>
      <c r="K89" s="359"/>
      <c r="L89" s="359"/>
      <c r="M89" s="359"/>
      <c r="N89" s="359"/>
      <c r="O89" s="360"/>
    </row>
    <row r="90" spans="1:15" ht="63.75" x14ac:dyDescent="0.2">
      <c r="A90" s="115" t="s">
        <v>1202</v>
      </c>
      <c r="B90" s="95" t="s">
        <v>1257</v>
      </c>
      <c r="C90" s="95">
        <f>1.7+0.03</f>
        <v>1.73</v>
      </c>
      <c r="D90" s="128">
        <f>133295.46+13494.91</f>
        <v>146790.37</v>
      </c>
      <c r="E90" s="150">
        <f t="shared" ref="E90:E92" si="29">D90/$D$9</f>
        <v>3.3703913924356247E-3</v>
      </c>
      <c r="F90" s="95" t="s">
        <v>1626</v>
      </c>
      <c r="G90" s="95">
        <v>1.73</v>
      </c>
      <c r="H90" s="128">
        <f>134634.22+9281.61</f>
        <v>143915.83000000002</v>
      </c>
      <c r="I90" s="150">
        <f t="shared" ref="I90:I92" si="30">H90/$H$9</f>
        <v>3.4048110187464881E-3</v>
      </c>
      <c r="J90" s="109" t="s">
        <v>1626</v>
      </c>
      <c r="K90" s="95" t="s">
        <v>1260</v>
      </c>
      <c r="L90" s="95" t="s">
        <v>1261</v>
      </c>
      <c r="M90" s="95" t="s">
        <v>1345</v>
      </c>
      <c r="N90" s="95" t="s">
        <v>14</v>
      </c>
      <c r="O90" s="163" t="s">
        <v>1666</v>
      </c>
    </row>
    <row r="91" spans="1:15" ht="90.75" customHeight="1" x14ac:dyDescent="0.2">
      <c r="A91" s="115" t="s">
        <v>1203</v>
      </c>
      <c r="B91" s="95" t="s">
        <v>1258</v>
      </c>
      <c r="C91" s="95">
        <f>0.9+0.03</f>
        <v>0.93</v>
      </c>
      <c r="D91" s="128">
        <f>129375+13494.91</f>
        <v>142869.91</v>
      </c>
      <c r="E91" s="150">
        <f t="shared" si="29"/>
        <v>3.2803753740933577E-3</v>
      </c>
      <c r="F91" s="95" t="s">
        <v>1626</v>
      </c>
      <c r="G91" s="95">
        <v>0.93</v>
      </c>
      <c r="H91" s="128">
        <f>130674.39+9281.61</f>
        <v>139956</v>
      </c>
      <c r="I91" s="150">
        <f t="shared" si="30"/>
        <v>3.3111279762600364E-3</v>
      </c>
      <c r="J91" s="109" t="s">
        <v>1626</v>
      </c>
      <c r="K91" s="95" t="s">
        <v>1262</v>
      </c>
      <c r="L91" s="95" t="s">
        <v>1261</v>
      </c>
      <c r="M91" s="95" t="s">
        <v>1346</v>
      </c>
      <c r="N91" s="95" t="s">
        <v>14</v>
      </c>
      <c r="O91" s="95" t="s">
        <v>1265</v>
      </c>
    </row>
    <row r="92" spans="1:15" ht="114.75" x14ac:dyDescent="0.2">
      <c r="A92" s="115" t="s">
        <v>854</v>
      </c>
      <c r="B92" s="95" t="s">
        <v>1259</v>
      </c>
      <c r="C92" s="95">
        <f>1.4+0.03</f>
        <v>1.43</v>
      </c>
      <c r="D92" s="128">
        <f>129375+13494.91</f>
        <v>142869.91</v>
      </c>
      <c r="E92" s="150">
        <f t="shared" si="29"/>
        <v>3.2803753740933577E-3</v>
      </c>
      <c r="F92" s="95" t="s">
        <v>1626</v>
      </c>
      <c r="G92" s="95">
        <v>1.43</v>
      </c>
      <c r="H92" s="128">
        <f>130674.39+9281.61</f>
        <v>139956</v>
      </c>
      <c r="I92" s="150">
        <f t="shared" si="30"/>
        <v>3.3111279762600364E-3</v>
      </c>
      <c r="J92" s="109" t="s">
        <v>1626</v>
      </c>
      <c r="K92" s="95" t="s">
        <v>1263</v>
      </c>
      <c r="L92" s="95" t="s">
        <v>1261</v>
      </c>
      <c r="M92" s="95" t="s">
        <v>1347</v>
      </c>
      <c r="N92" s="95" t="s">
        <v>14</v>
      </c>
      <c r="O92" s="95" t="s">
        <v>1265</v>
      </c>
    </row>
    <row r="93" spans="1:15" ht="20.25" customHeight="1" x14ac:dyDescent="0.2">
      <c r="A93" s="358" t="s">
        <v>855</v>
      </c>
      <c r="B93" s="359"/>
      <c r="C93" s="359"/>
      <c r="D93" s="359"/>
      <c r="E93" s="359"/>
      <c r="F93" s="359"/>
      <c r="G93" s="359"/>
      <c r="H93" s="359"/>
      <c r="I93" s="359"/>
      <c r="J93" s="359"/>
      <c r="K93" s="359"/>
      <c r="L93" s="359"/>
      <c r="M93" s="359"/>
      <c r="N93" s="359"/>
      <c r="O93" s="360"/>
    </row>
    <row r="94" spans="1:15" ht="60" customHeight="1" x14ac:dyDescent="0.2">
      <c r="A94" s="95" t="s">
        <v>856</v>
      </c>
      <c r="B94" s="95" t="s">
        <v>1228</v>
      </c>
      <c r="C94" s="158">
        <f>5.25+0.03</f>
        <v>5.28</v>
      </c>
      <c r="D94" s="128">
        <f>328675.88+13494.91</f>
        <v>342170.79</v>
      </c>
      <c r="E94" s="150">
        <f t="shared" ref="E94:E97" si="31">D94/$D$9</f>
        <v>7.8564383028593612E-3</v>
      </c>
      <c r="F94" s="158" t="s">
        <v>1626</v>
      </c>
      <c r="G94" s="158">
        <v>5.28</v>
      </c>
      <c r="H94" s="128">
        <f>331794.11+9281.61</f>
        <v>341075.72</v>
      </c>
      <c r="I94" s="150">
        <f t="shared" ref="I94:I97" si="32">H94/$H$9</f>
        <v>8.0692886229603213E-3</v>
      </c>
      <c r="J94" s="156" t="s">
        <v>1626</v>
      </c>
      <c r="K94" s="95" t="s">
        <v>426</v>
      </c>
      <c r="L94" s="95" t="s">
        <v>658</v>
      </c>
      <c r="M94" s="95" t="s">
        <v>1343</v>
      </c>
      <c r="N94" s="95" t="s">
        <v>14</v>
      </c>
      <c r="O94" s="95" t="s">
        <v>1265</v>
      </c>
    </row>
    <row r="95" spans="1:15" ht="51" x14ac:dyDescent="0.2">
      <c r="A95" s="95" t="s">
        <v>1205</v>
      </c>
      <c r="B95" s="95" t="s">
        <v>1229</v>
      </c>
      <c r="C95" s="158">
        <f>4.25+0.03</f>
        <v>4.28</v>
      </c>
      <c r="D95" s="128">
        <f>328675.88+13494.91</f>
        <v>342170.79</v>
      </c>
      <c r="E95" s="150">
        <f t="shared" si="31"/>
        <v>7.8564383028593612E-3</v>
      </c>
      <c r="F95" s="158" t="s">
        <v>1626</v>
      </c>
      <c r="G95" s="158">
        <v>4.28</v>
      </c>
      <c r="H95" s="128">
        <f>331794.11+9281.61</f>
        <v>341075.72</v>
      </c>
      <c r="I95" s="150">
        <f t="shared" si="32"/>
        <v>8.0692886229603213E-3</v>
      </c>
      <c r="J95" s="156" t="s">
        <v>1626</v>
      </c>
      <c r="K95" s="97" t="s">
        <v>1266</v>
      </c>
      <c r="L95" s="95" t="s">
        <v>658</v>
      </c>
      <c r="M95" s="95" t="s">
        <v>1343</v>
      </c>
      <c r="N95" s="95" t="s">
        <v>14</v>
      </c>
      <c r="O95" s="95" t="s">
        <v>1267</v>
      </c>
    </row>
    <row r="96" spans="1:15" ht="25.5" x14ac:dyDescent="0.2">
      <c r="A96" s="95" t="s">
        <v>1176</v>
      </c>
      <c r="B96" s="95" t="s">
        <v>1230</v>
      </c>
      <c r="C96" s="158">
        <f>3.75+0.03</f>
        <v>3.78</v>
      </c>
      <c r="D96" s="128">
        <f>328675.88+13494.91</f>
        <v>342170.79</v>
      </c>
      <c r="E96" s="150">
        <f t="shared" si="31"/>
        <v>7.8564383028593612E-3</v>
      </c>
      <c r="F96" s="158" t="s">
        <v>1626</v>
      </c>
      <c r="G96" s="158">
        <v>3.78</v>
      </c>
      <c r="H96" s="128">
        <f>331794.11+9281.61</f>
        <v>341075.72</v>
      </c>
      <c r="I96" s="150">
        <f t="shared" si="32"/>
        <v>8.0692886229603213E-3</v>
      </c>
      <c r="J96" s="156" t="s">
        <v>1626</v>
      </c>
      <c r="K96" s="98" t="s">
        <v>1268</v>
      </c>
      <c r="L96" s="95" t="s">
        <v>658</v>
      </c>
      <c r="M96" s="95" t="s">
        <v>1343</v>
      </c>
      <c r="N96" s="95" t="s">
        <v>14</v>
      </c>
      <c r="O96" s="95" t="s">
        <v>1265</v>
      </c>
    </row>
    <row r="97" spans="1:1712" ht="38.25" x14ac:dyDescent="0.2">
      <c r="A97" s="95" t="s">
        <v>1175</v>
      </c>
      <c r="B97" s="95" t="s">
        <v>1688</v>
      </c>
      <c r="C97" s="158">
        <f>2.75+0.03</f>
        <v>2.78</v>
      </c>
      <c r="D97" s="128">
        <f>328675.88+13494.91</f>
        <v>342170.79</v>
      </c>
      <c r="E97" s="150">
        <f t="shared" si="31"/>
        <v>7.8564383028593612E-3</v>
      </c>
      <c r="F97" s="158" t="s">
        <v>1626</v>
      </c>
      <c r="G97" s="158">
        <v>2.78</v>
      </c>
      <c r="H97" s="128">
        <f>331794.11+9281.61</f>
        <v>341075.72</v>
      </c>
      <c r="I97" s="150">
        <f t="shared" si="32"/>
        <v>8.0692886229603213E-3</v>
      </c>
      <c r="J97" s="156" t="s">
        <v>1626</v>
      </c>
      <c r="K97" s="95" t="s">
        <v>1269</v>
      </c>
      <c r="L97" s="95" t="s">
        <v>658</v>
      </c>
      <c r="M97" s="95" t="s">
        <v>1343</v>
      </c>
      <c r="N97" s="95" t="s">
        <v>14</v>
      </c>
      <c r="O97" s="95" t="s">
        <v>1265</v>
      </c>
    </row>
    <row r="98" spans="1:1712" ht="19.5" customHeight="1" thickBot="1" x14ac:dyDescent="0.25">
      <c r="A98" s="361" t="s">
        <v>1206</v>
      </c>
      <c r="B98" s="362"/>
      <c r="C98" s="362"/>
      <c r="D98" s="362"/>
      <c r="E98" s="362"/>
      <c r="F98" s="362"/>
      <c r="G98" s="362"/>
      <c r="H98" s="362"/>
      <c r="I98" s="362"/>
      <c r="J98" s="362"/>
      <c r="K98" s="362"/>
      <c r="L98" s="362"/>
      <c r="M98" s="362"/>
      <c r="N98" s="362"/>
      <c r="O98" s="363"/>
    </row>
    <row r="99" spans="1:1712" ht="166.5" thickBot="1" x14ac:dyDescent="0.25">
      <c r="A99" s="95" t="s">
        <v>1254</v>
      </c>
      <c r="B99" s="95" t="s">
        <v>1255</v>
      </c>
      <c r="C99" s="158">
        <f>13.6+0.03</f>
        <v>13.629999999999999</v>
      </c>
      <c r="D99" s="128">
        <f>739520.73+13494.91</f>
        <v>753015.64</v>
      </c>
      <c r="E99" s="150">
        <f t="shared" ref="E99:E101" si="33">D99/$D$9</f>
        <v>1.7289672554305868E-2</v>
      </c>
      <c r="F99" s="158" t="s">
        <v>1626</v>
      </c>
      <c r="G99" s="158">
        <v>13.63</v>
      </c>
      <c r="H99" s="128">
        <f>746536.74+9281.61</f>
        <v>755818.35</v>
      </c>
      <c r="I99" s="150">
        <f t="shared" ref="I99:I101" si="34">H99/$H$9</f>
        <v>1.7881414756464174E-2</v>
      </c>
      <c r="J99" s="156" t="s">
        <v>1626</v>
      </c>
      <c r="K99" s="95" t="s">
        <v>1264</v>
      </c>
      <c r="L99" s="68" t="s">
        <v>657</v>
      </c>
      <c r="M99" s="95" t="s">
        <v>1663</v>
      </c>
      <c r="N99" s="95" t="s">
        <v>14</v>
      </c>
      <c r="O99" s="95" t="s">
        <v>1265</v>
      </c>
    </row>
    <row r="100" spans="1:1712" ht="217.5" thickBot="1" x14ac:dyDescent="0.25">
      <c r="A100" s="115" t="s">
        <v>1253</v>
      </c>
      <c r="B100" s="95" t="s">
        <v>1256</v>
      </c>
      <c r="C100" s="157">
        <f>3.2+0.03+0.1</f>
        <v>3.33</v>
      </c>
      <c r="D100" s="149">
        <f>295808.29+13494.91</f>
        <v>309303.19999999995</v>
      </c>
      <c r="E100" s="150">
        <f t="shared" si="33"/>
        <v>7.1017795168224892E-3</v>
      </c>
      <c r="F100" s="157" t="s">
        <v>1626</v>
      </c>
      <c r="G100" s="157">
        <v>3.33</v>
      </c>
      <c r="H100" s="149">
        <f>298614.7+9281.61</f>
        <v>307896.31</v>
      </c>
      <c r="I100" s="150">
        <f t="shared" si="34"/>
        <v>7.2843185417433539E-3</v>
      </c>
      <c r="J100" s="151" t="s">
        <v>1626</v>
      </c>
      <c r="K100" s="95" t="s">
        <v>1298</v>
      </c>
      <c r="L100" s="68" t="s">
        <v>657</v>
      </c>
      <c r="M100" s="163" t="s">
        <v>1663</v>
      </c>
      <c r="N100" s="95" t="s">
        <v>14</v>
      </c>
      <c r="O100" s="163" t="s">
        <v>1265</v>
      </c>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c r="BP100" s="119"/>
      <c r="BQ100" s="119"/>
      <c r="BR100" s="119"/>
      <c r="BS100" s="119"/>
      <c r="BT100" s="119"/>
      <c r="BU100" s="119"/>
      <c r="BV100" s="119"/>
      <c r="BW100" s="119"/>
      <c r="BX100" s="119"/>
      <c r="BY100" s="119"/>
      <c r="BZ100" s="119"/>
      <c r="CA100" s="119"/>
      <c r="CB100" s="119"/>
      <c r="CC100" s="119"/>
      <c r="CD100" s="119"/>
      <c r="CE100" s="119"/>
      <c r="CF100" s="119"/>
      <c r="CG100" s="119"/>
      <c r="CH100" s="119"/>
      <c r="CI100" s="119"/>
      <c r="CJ100" s="119"/>
      <c r="CK100" s="119"/>
      <c r="CL100" s="119"/>
      <c r="CM100" s="119"/>
      <c r="CN100" s="119"/>
      <c r="CO100" s="119"/>
      <c r="CP100" s="119"/>
      <c r="CQ100" s="119"/>
      <c r="CR100" s="119"/>
      <c r="CS100" s="119"/>
      <c r="CT100" s="119"/>
      <c r="CU100" s="119"/>
      <c r="CV100" s="119"/>
      <c r="CW100" s="119"/>
      <c r="CX100" s="119"/>
      <c r="CY100" s="119"/>
      <c r="CZ100" s="119"/>
      <c r="DA100" s="119"/>
      <c r="DB100" s="119"/>
      <c r="DC100" s="119"/>
      <c r="DD100" s="119"/>
      <c r="DE100" s="119"/>
      <c r="DF100" s="119"/>
      <c r="DG100" s="119"/>
      <c r="DH100" s="119"/>
      <c r="DI100" s="119"/>
      <c r="DJ100" s="119"/>
      <c r="DK100" s="119"/>
      <c r="DL100" s="119"/>
      <c r="DM100" s="119"/>
      <c r="DN100" s="119"/>
      <c r="DO100" s="119"/>
      <c r="DP100" s="119"/>
      <c r="DQ100" s="119"/>
      <c r="DR100" s="119"/>
      <c r="DS100" s="119"/>
      <c r="DT100" s="119"/>
      <c r="DU100" s="119"/>
      <c r="DV100" s="119"/>
      <c r="DW100" s="119"/>
      <c r="DX100" s="119"/>
      <c r="DY100" s="119"/>
      <c r="DZ100" s="119"/>
      <c r="EA100" s="119"/>
      <c r="EB100" s="119"/>
      <c r="EC100" s="119"/>
      <c r="ED100" s="119"/>
      <c r="EE100" s="119"/>
      <c r="EF100" s="119"/>
      <c r="EG100" s="119"/>
      <c r="EH100" s="119"/>
      <c r="EI100" s="119"/>
      <c r="EJ100" s="119"/>
      <c r="EK100" s="119"/>
      <c r="EL100" s="119"/>
      <c r="EM100" s="119"/>
      <c r="EN100" s="119"/>
      <c r="EO100" s="119"/>
      <c r="EP100" s="119"/>
      <c r="EQ100" s="119"/>
      <c r="ER100" s="119"/>
      <c r="ES100" s="119"/>
      <c r="ET100" s="119"/>
      <c r="EU100" s="119"/>
      <c r="EV100" s="119"/>
      <c r="EW100" s="119"/>
      <c r="EX100" s="119"/>
      <c r="EY100" s="119"/>
      <c r="EZ100" s="119"/>
      <c r="FA100" s="119"/>
      <c r="FB100" s="119"/>
      <c r="FC100" s="119"/>
      <c r="FD100" s="119"/>
      <c r="FE100" s="119"/>
      <c r="FF100" s="119"/>
      <c r="FG100" s="119"/>
      <c r="FH100" s="119"/>
      <c r="FI100" s="119"/>
      <c r="FJ100" s="119"/>
      <c r="FK100" s="119"/>
      <c r="FL100" s="119"/>
      <c r="FM100" s="119"/>
      <c r="FN100" s="119"/>
      <c r="FO100" s="119"/>
      <c r="FP100" s="119"/>
      <c r="FQ100" s="119"/>
      <c r="FR100" s="119"/>
      <c r="FS100" s="119"/>
      <c r="FT100" s="119"/>
      <c r="FU100" s="119"/>
      <c r="FV100" s="119"/>
      <c r="FW100" s="119"/>
      <c r="FX100" s="119"/>
      <c r="FY100" s="119"/>
      <c r="FZ100" s="119"/>
      <c r="GA100" s="119"/>
      <c r="GB100" s="119"/>
      <c r="GC100" s="119"/>
      <c r="GD100" s="119"/>
      <c r="GE100" s="119"/>
      <c r="GF100" s="119"/>
      <c r="GG100" s="119"/>
      <c r="GH100" s="119"/>
      <c r="GI100" s="119"/>
      <c r="GJ100" s="119"/>
      <c r="GK100" s="119"/>
      <c r="GL100" s="119"/>
      <c r="GM100" s="119"/>
      <c r="GN100" s="119"/>
      <c r="GO100" s="119"/>
      <c r="GP100" s="119"/>
      <c r="GQ100" s="119"/>
      <c r="GR100" s="119"/>
      <c r="GS100" s="119"/>
      <c r="GT100" s="119"/>
      <c r="GU100" s="119"/>
      <c r="GV100" s="119"/>
      <c r="GW100" s="119"/>
      <c r="GX100" s="119"/>
      <c r="GY100" s="119"/>
      <c r="GZ100" s="119"/>
      <c r="HA100" s="119"/>
      <c r="HB100" s="119"/>
      <c r="HC100" s="119"/>
      <c r="HD100" s="119"/>
      <c r="HE100" s="119"/>
      <c r="HF100" s="119"/>
      <c r="HG100" s="119"/>
      <c r="HH100" s="119"/>
      <c r="HI100" s="119"/>
      <c r="HJ100" s="119"/>
      <c r="HK100" s="119"/>
      <c r="HL100" s="119"/>
      <c r="HM100" s="119"/>
      <c r="HN100" s="119"/>
      <c r="HO100" s="119"/>
      <c r="HP100" s="119"/>
      <c r="HQ100" s="119"/>
      <c r="HR100" s="119"/>
      <c r="HS100" s="119"/>
      <c r="HT100" s="119"/>
      <c r="HU100" s="119"/>
      <c r="HV100" s="119"/>
      <c r="HW100" s="119"/>
      <c r="HX100" s="119"/>
      <c r="HY100" s="119"/>
      <c r="HZ100" s="119"/>
      <c r="IA100" s="119"/>
      <c r="IB100" s="119"/>
      <c r="IC100" s="119"/>
      <c r="ID100" s="119"/>
      <c r="IE100" s="119"/>
      <c r="IF100" s="119"/>
      <c r="IG100" s="119"/>
      <c r="IH100" s="119"/>
      <c r="II100" s="119"/>
      <c r="IJ100" s="119"/>
      <c r="IK100" s="119"/>
      <c r="IL100" s="119"/>
      <c r="IM100" s="119"/>
      <c r="IN100" s="119"/>
      <c r="IO100" s="119"/>
      <c r="IP100" s="119"/>
      <c r="IQ100" s="119"/>
      <c r="IR100" s="119"/>
      <c r="IS100" s="119"/>
      <c r="IT100" s="119"/>
      <c r="IU100" s="119"/>
      <c r="IV100" s="119"/>
      <c r="IW100" s="119"/>
      <c r="IX100" s="119"/>
      <c r="IY100" s="119"/>
      <c r="IZ100" s="119"/>
      <c r="JA100" s="119"/>
      <c r="JB100" s="119"/>
      <c r="JC100" s="119"/>
      <c r="JD100" s="119"/>
      <c r="JE100" s="119"/>
      <c r="JF100" s="119"/>
      <c r="JG100" s="119"/>
      <c r="JH100" s="119"/>
      <c r="JI100" s="119"/>
      <c r="JJ100" s="119"/>
      <c r="JK100" s="119"/>
      <c r="JL100" s="119"/>
      <c r="JM100" s="119"/>
      <c r="JN100" s="119"/>
      <c r="JO100" s="119"/>
      <c r="JP100" s="119"/>
      <c r="JQ100" s="119"/>
      <c r="JR100" s="119"/>
      <c r="JS100" s="119"/>
      <c r="JT100" s="119"/>
      <c r="JU100" s="119"/>
      <c r="JV100" s="119"/>
      <c r="JW100" s="119"/>
      <c r="JX100" s="119"/>
      <c r="JY100" s="119"/>
      <c r="JZ100" s="119"/>
      <c r="KA100" s="119"/>
      <c r="KB100" s="119"/>
      <c r="KC100" s="119"/>
      <c r="KD100" s="119"/>
      <c r="KE100" s="119"/>
      <c r="KF100" s="119"/>
      <c r="KG100" s="119"/>
      <c r="KH100" s="119"/>
      <c r="KI100" s="119"/>
      <c r="KJ100" s="119"/>
      <c r="KK100" s="119"/>
      <c r="KL100" s="119"/>
      <c r="KM100" s="119"/>
      <c r="KN100" s="119"/>
      <c r="KO100" s="119"/>
      <c r="KP100" s="119"/>
      <c r="KQ100" s="119"/>
      <c r="KR100" s="119"/>
      <c r="KS100" s="119"/>
      <c r="KT100" s="119"/>
      <c r="KU100" s="119"/>
      <c r="KV100" s="119"/>
      <c r="KW100" s="119"/>
      <c r="KX100" s="119"/>
      <c r="KY100" s="119"/>
      <c r="KZ100" s="119"/>
      <c r="LA100" s="119"/>
      <c r="LB100" s="119"/>
      <c r="LC100" s="119"/>
      <c r="LD100" s="119"/>
      <c r="LE100" s="119"/>
      <c r="LF100" s="119"/>
      <c r="LG100" s="119"/>
      <c r="LH100" s="119"/>
      <c r="LI100" s="119"/>
      <c r="LJ100" s="119"/>
      <c r="LK100" s="119"/>
      <c r="LL100" s="119"/>
      <c r="LM100" s="119"/>
      <c r="LN100" s="119"/>
      <c r="LO100" s="119"/>
      <c r="LP100" s="119"/>
      <c r="LQ100" s="119"/>
      <c r="LR100" s="119"/>
      <c r="LS100" s="119"/>
      <c r="LT100" s="119"/>
      <c r="LU100" s="119"/>
      <c r="LV100" s="119"/>
      <c r="LW100" s="119"/>
      <c r="LX100" s="119"/>
      <c r="LY100" s="119"/>
      <c r="LZ100" s="119"/>
      <c r="MA100" s="119"/>
      <c r="MB100" s="119"/>
      <c r="MC100" s="119"/>
      <c r="MD100" s="119"/>
      <c r="ME100" s="119"/>
      <c r="MF100" s="119"/>
      <c r="MG100" s="119"/>
      <c r="MH100" s="119"/>
      <c r="MI100" s="119"/>
      <c r="MJ100" s="119"/>
      <c r="MK100" s="119"/>
      <c r="ML100" s="119"/>
      <c r="MM100" s="119"/>
      <c r="MN100" s="119"/>
      <c r="MO100" s="119"/>
      <c r="MP100" s="119"/>
      <c r="MQ100" s="119"/>
      <c r="MR100" s="119"/>
      <c r="MS100" s="119"/>
      <c r="MT100" s="119"/>
      <c r="MU100" s="119"/>
      <c r="MV100" s="119"/>
      <c r="MW100" s="119"/>
      <c r="MX100" s="119"/>
      <c r="MY100" s="119"/>
      <c r="MZ100" s="119"/>
      <c r="NA100" s="119"/>
      <c r="NB100" s="119"/>
      <c r="NC100" s="119"/>
      <c r="ND100" s="119"/>
      <c r="NE100" s="119"/>
      <c r="NF100" s="119"/>
      <c r="NG100" s="119"/>
      <c r="NH100" s="119"/>
      <c r="NI100" s="119"/>
      <c r="NJ100" s="119"/>
      <c r="NK100" s="119"/>
      <c r="NL100" s="119"/>
      <c r="NM100" s="119"/>
      <c r="NN100" s="119"/>
      <c r="NO100" s="119"/>
      <c r="NP100" s="119"/>
      <c r="NQ100" s="119"/>
      <c r="NR100" s="119"/>
      <c r="NS100" s="119"/>
      <c r="NT100" s="119"/>
      <c r="NU100" s="119"/>
      <c r="NV100" s="119"/>
      <c r="NW100" s="119"/>
      <c r="NX100" s="119"/>
      <c r="NY100" s="119"/>
      <c r="NZ100" s="119"/>
      <c r="OA100" s="119"/>
      <c r="OB100" s="119"/>
      <c r="OC100" s="119"/>
      <c r="OD100" s="119"/>
      <c r="OE100" s="119"/>
      <c r="OF100" s="119"/>
      <c r="OG100" s="119"/>
      <c r="OH100" s="119"/>
      <c r="OI100" s="119"/>
      <c r="OJ100" s="119"/>
      <c r="OK100" s="119"/>
      <c r="OL100" s="119"/>
      <c r="OM100" s="119"/>
      <c r="ON100" s="119"/>
      <c r="OO100" s="119"/>
      <c r="OP100" s="119"/>
      <c r="OQ100" s="119"/>
      <c r="OR100" s="119"/>
      <c r="OS100" s="119"/>
      <c r="OT100" s="119"/>
      <c r="OU100" s="119"/>
      <c r="OV100" s="119"/>
      <c r="OW100" s="119"/>
      <c r="OX100" s="119"/>
      <c r="OY100" s="119"/>
      <c r="OZ100" s="119"/>
      <c r="PA100" s="119"/>
      <c r="PB100" s="119"/>
      <c r="PC100" s="119"/>
      <c r="PD100" s="119"/>
      <c r="PE100" s="119"/>
      <c r="PF100" s="119"/>
      <c r="PG100" s="119"/>
      <c r="PH100" s="119"/>
      <c r="PI100" s="119"/>
      <c r="PJ100" s="119"/>
      <c r="PK100" s="119"/>
      <c r="PL100" s="119"/>
      <c r="PM100" s="119"/>
      <c r="PN100" s="119"/>
      <c r="PO100" s="119"/>
      <c r="PP100" s="119"/>
      <c r="PQ100" s="119"/>
      <c r="PR100" s="119"/>
      <c r="PS100" s="119"/>
      <c r="PT100" s="119"/>
      <c r="PU100" s="119"/>
      <c r="PV100" s="119"/>
      <c r="PW100" s="119"/>
      <c r="PX100" s="119"/>
      <c r="PY100" s="119"/>
      <c r="PZ100" s="119"/>
      <c r="QA100" s="119"/>
      <c r="QB100" s="119"/>
      <c r="QC100" s="119"/>
      <c r="QD100" s="119"/>
      <c r="QE100" s="119"/>
      <c r="QF100" s="119"/>
      <c r="QG100" s="119"/>
      <c r="QH100" s="119"/>
      <c r="QI100" s="119"/>
      <c r="QJ100" s="119"/>
      <c r="QK100" s="119"/>
      <c r="QL100" s="119"/>
      <c r="QM100" s="119"/>
      <c r="QN100" s="119"/>
      <c r="QO100" s="119"/>
      <c r="QP100" s="119"/>
      <c r="QQ100" s="119"/>
      <c r="QR100" s="119"/>
      <c r="QS100" s="119"/>
      <c r="QT100" s="119"/>
      <c r="QU100" s="119"/>
      <c r="QV100" s="119"/>
      <c r="QW100" s="119"/>
      <c r="QX100" s="119"/>
      <c r="QY100" s="119"/>
      <c r="QZ100" s="119"/>
      <c r="RA100" s="119"/>
      <c r="RB100" s="119"/>
      <c r="RC100" s="119"/>
      <c r="RD100" s="119"/>
      <c r="RE100" s="119"/>
      <c r="RF100" s="119"/>
      <c r="RG100" s="119"/>
      <c r="RH100" s="119"/>
      <c r="RI100" s="119"/>
      <c r="RJ100" s="119"/>
      <c r="RK100" s="119"/>
      <c r="RL100" s="119"/>
      <c r="RM100" s="119"/>
      <c r="RN100" s="119"/>
      <c r="RO100" s="119"/>
      <c r="RP100" s="119"/>
      <c r="RQ100" s="119"/>
      <c r="RR100" s="119"/>
      <c r="RS100" s="119"/>
      <c r="RT100" s="119"/>
      <c r="RU100" s="119"/>
      <c r="RV100" s="119"/>
      <c r="RW100" s="119"/>
      <c r="RX100" s="119"/>
      <c r="RY100" s="119"/>
      <c r="RZ100" s="119"/>
      <c r="SA100" s="119"/>
      <c r="SB100" s="119"/>
      <c r="SC100" s="119"/>
      <c r="SD100" s="119"/>
      <c r="SE100" s="119"/>
      <c r="SF100" s="119"/>
      <c r="SG100" s="119"/>
      <c r="SH100" s="119"/>
      <c r="SI100" s="119"/>
      <c r="SJ100" s="119"/>
      <c r="SK100" s="119"/>
      <c r="SL100" s="119"/>
      <c r="SM100" s="119"/>
      <c r="SN100" s="119"/>
      <c r="SO100" s="119"/>
      <c r="SP100" s="119"/>
      <c r="SQ100" s="119"/>
      <c r="SR100" s="119"/>
      <c r="SS100" s="119"/>
      <c r="ST100" s="119"/>
      <c r="SU100" s="119"/>
      <c r="SV100" s="119"/>
      <c r="SW100" s="119"/>
      <c r="SX100" s="119"/>
      <c r="SY100" s="119"/>
      <c r="SZ100" s="119"/>
      <c r="TA100" s="119"/>
      <c r="TB100" s="119"/>
      <c r="TC100" s="119"/>
      <c r="TD100" s="119"/>
      <c r="TE100" s="119"/>
      <c r="TF100" s="119"/>
      <c r="TG100" s="119"/>
      <c r="TH100" s="119"/>
      <c r="TI100" s="119"/>
      <c r="TJ100" s="119"/>
      <c r="TK100" s="119"/>
      <c r="TL100" s="119"/>
      <c r="TM100" s="119"/>
      <c r="TN100" s="119"/>
      <c r="TO100" s="119"/>
      <c r="TP100" s="119"/>
      <c r="TQ100" s="119"/>
      <c r="TR100" s="119"/>
      <c r="TS100" s="119"/>
      <c r="TT100" s="119"/>
      <c r="TU100" s="119"/>
      <c r="TV100" s="119"/>
      <c r="TW100" s="119"/>
      <c r="TX100" s="119"/>
      <c r="TY100" s="119"/>
      <c r="TZ100" s="119"/>
      <c r="UA100" s="119"/>
      <c r="UB100" s="119"/>
      <c r="UC100" s="119"/>
      <c r="UD100" s="119"/>
      <c r="UE100" s="119"/>
      <c r="UF100" s="119"/>
      <c r="UG100" s="119"/>
      <c r="UH100" s="119"/>
      <c r="UI100" s="119"/>
      <c r="UJ100" s="119"/>
      <c r="UK100" s="119"/>
      <c r="UL100" s="119"/>
      <c r="UM100" s="119"/>
      <c r="UN100" s="119"/>
      <c r="UO100" s="119"/>
      <c r="UP100" s="119"/>
      <c r="UQ100" s="119"/>
      <c r="UR100" s="119"/>
      <c r="US100" s="119"/>
      <c r="UT100" s="119"/>
      <c r="UU100" s="119"/>
      <c r="UV100" s="119"/>
      <c r="UW100" s="119"/>
      <c r="UX100" s="119"/>
      <c r="UY100" s="119"/>
      <c r="UZ100" s="119"/>
      <c r="VA100" s="119"/>
      <c r="VB100" s="119"/>
      <c r="VC100" s="119"/>
      <c r="VD100" s="119"/>
      <c r="VE100" s="119"/>
      <c r="VF100" s="119"/>
      <c r="VG100" s="119"/>
      <c r="VH100" s="119"/>
      <c r="VI100" s="119"/>
      <c r="VJ100" s="119"/>
      <c r="VK100" s="119"/>
      <c r="VL100" s="119"/>
      <c r="VM100" s="119"/>
      <c r="VN100" s="119"/>
      <c r="VO100" s="119"/>
      <c r="VP100" s="119"/>
      <c r="VQ100" s="119"/>
      <c r="VR100" s="119"/>
      <c r="VS100" s="119"/>
      <c r="VT100" s="119"/>
      <c r="VU100" s="119"/>
      <c r="VV100" s="119"/>
      <c r="VW100" s="119"/>
      <c r="VX100" s="119"/>
      <c r="VY100" s="119"/>
      <c r="VZ100" s="119"/>
      <c r="WA100" s="119"/>
      <c r="WB100" s="119"/>
      <c r="WC100" s="119"/>
      <c r="WD100" s="119"/>
      <c r="WE100" s="119"/>
      <c r="WF100" s="119"/>
      <c r="WG100" s="119"/>
      <c r="WH100" s="119"/>
      <c r="WI100" s="119"/>
      <c r="WJ100" s="119"/>
      <c r="WK100" s="119"/>
      <c r="WL100" s="119"/>
      <c r="WM100" s="119"/>
      <c r="WN100" s="119"/>
      <c r="WO100" s="119"/>
      <c r="WP100" s="119"/>
      <c r="WQ100" s="119"/>
      <c r="WR100" s="119"/>
      <c r="WS100" s="119"/>
      <c r="WT100" s="119"/>
      <c r="WU100" s="119"/>
      <c r="WV100" s="119"/>
      <c r="WW100" s="119"/>
      <c r="WX100" s="119"/>
      <c r="WY100" s="119"/>
      <c r="WZ100" s="119"/>
      <c r="XA100" s="119"/>
      <c r="XB100" s="119"/>
      <c r="XC100" s="119"/>
      <c r="XD100" s="119"/>
      <c r="XE100" s="119"/>
      <c r="XF100" s="119"/>
      <c r="XG100" s="119"/>
      <c r="XH100" s="119"/>
      <c r="XI100" s="119"/>
      <c r="XJ100" s="119"/>
      <c r="XK100" s="119"/>
      <c r="XL100" s="119"/>
      <c r="XM100" s="119"/>
      <c r="XN100" s="119"/>
      <c r="XO100" s="119"/>
      <c r="XP100" s="119"/>
      <c r="XQ100" s="119"/>
      <c r="XR100" s="119"/>
      <c r="XS100" s="119"/>
      <c r="XT100" s="119"/>
      <c r="XU100" s="119"/>
      <c r="XV100" s="119"/>
      <c r="XW100" s="119"/>
      <c r="XX100" s="119"/>
      <c r="XY100" s="119"/>
      <c r="XZ100" s="119"/>
      <c r="YA100" s="119"/>
      <c r="YB100" s="119"/>
      <c r="YC100" s="119"/>
      <c r="YD100" s="119"/>
      <c r="YE100" s="119"/>
      <c r="YF100" s="119"/>
      <c r="YG100" s="119"/>
      <c r="YH100" s="119"/>
      <c r="YI100" s="119"/>
      <c r="YJ100" s="119"/>
      <c r="YK100" s="119"/>
      <c r="YL100" s="119"/>
      <c r="YM100" s="119"/>
      <c r="YN100" s="119"/>
      <c r="YO100" s="119"/>
      <c r="YP100" s="119"/>
      <c r="YQ100" s="119"/>
      <c r="YR100" s="119"/>
      <c r="YS100" s="119"/>
      <c r="YT100" s="119"/>
      <c r="YU100" s="119"/>
      <c r="YV100" s="119"/>
      <c r="YW100" s="119"/>
      <c r="YX100" s="119"/>
      <c r="YY100" s="119"/>
      <c r="YZ100" s="119"/>
      <c r="ZA100" s="119"/>
      <c r="ZB100" s="119"/>
      <c r="ZC100" s="119"/>
      <c r="ZD100" s="119"/>
      <c r="ZE100" s="119"/>
      <c r="ZF100" s="119"/>
      <c r="ZG100" s="119"/>
      <c r="ZH100" s="119"/>
      <c r="ZI100" s="119"/>
      <c r="ZJ100" s="119"/>
      <c r="ZK100" s="119"/>
      <c r="ZL100" s="119"/>
      <c r="ZM100" s="119"/>
      <c r="ZN100" s="119"/>
      <c r="ZO100" s="119"/>
      <c r="ZP100" s="119"/>
      <c r="ZQ100" s="119"/>
      <c r="ZR100" s="119"/>
      <c r="ZS100" s="119"/>
      <c r="ZT100" s="119"/>
      <c r="ZU100" s="119"/>
      <c r="ZV100" s="119"/>
      <c r="ZW100" s="119"/>
      <c r="ZX100" s="119"/>
      <c r="ZY100" s="119"/>
      <c r="ZZ100" s="119"/>
      <c r="AAA100" s="119"/>
      <c r="AAB100" s="119"/>
      <c r="AAC100" s="119"/>
      <c r="AAD100" s="119"/>
      <c r="AAE100" s="119"/>
      <c r="AAF100" s="119"/>
      <c r="AAG100" s="119"/>
      <c r="AAH100" s="119"/>
      <c r="AAI100" s="119"/>
      <c r="AAJ100" s="119"/>
      <c r="AAK100" s="119"/>
      <c r="AAL100" s="119"/>
      <c r="AAM100" s="119"/>
      <c r="AAN100" s="119"/>
      <c r="AAO100" s="119"/>
      <c r="AAP100" s="119"/>
      <c r="AAQ100" s="119"/>
      <c r="AAR100" s="119"/>
      <c r="AAS100" s="119"/>
      <c r="AAT100" s="119"/>
      <c r="AAU100" s="119"/>
      <c r="AAV100" s="119"/>
      <c r="AAW100" s="119"/>
      <c r="AAX100" s="119"/>
      <c r="AAY100" s="119"/>
      <c r="AAZ100" s="119"/>
      <c r="ABA100" s="119"/>
      <c r="ABB100" s="119"/>
      <c r="ABC100" s="119"/>
      <c r="ABD100" s="119"/>
      <c r="ABE100" s="119"/>
      <c r="ABF100" s="119"/>
      <c r="ABG100" s="119"/>
      <c r="ABH100" s="119"/>
      <c r="ABI100" s="119"/>
      <c r="ABJ100" s="119"/>
      <c r="ABK100" s="119"/>
      <c r="ABL100" s="119"/>
      <c r="ABM100" s="119"/>
      <c r="ABN100" s="119"/>
      <c r="ABO100" s="119"/>
      <c r="ABP100" s="119"/>
      <c r="ABQ100" s="119"/>
      <c r="ABR100" s="119"/>
      <c r="ABS100" s="119"/>
      <c r="ABT100" s="119"/>
      <c r="ABU100" s="119"/>
      <c r="ABV100" s="119"/>
      <c r="ABW100" s="119"/>
      <c r="ABX100" s="119"/>
      <c r="ABY100" s="119"/>
      <c r="ABZ100" s="119"/>
      <c r="ACA100" s="119"/>
      <c r="ACB100" s="119"/>
      <c r="ACC100" s="119"/>
      <c r="ACD100" s="119"/>
      <c r="ACE100" s="119"/>
      <c r="ACF100" s="119"/>
      <c r="ACG100" s="119"/>
      <c r="ACH100" s="119"/>
      <c r="ACI100" s="119"/>
      <c r="ACJ100" s="119"/>
      <c r="ACK100" s="119"/>
      <c r="ACL100" s="119"/>
      <c r="ACM100" s="119"/>
      <c r="ACN100" s="119"/>
      <c r="ACO100" s="119"/>
      <c r="ACP100" s="119"/>
      <c r="ACQ100" s="119"/>
      <c r="ACR100" s="119"/>
      <c r="ACS100" s="119"/>
      <c r="ACT100" s="119"/>
      <c r="ACU100" s="119"/>
      <c r="ACV100" s="119"/>
      <c r="ACW100" s="119"/>
      <c r="ACX100" s="119"/>
      <c r="ACY100" s="119"/>
      <c r="ACZ100" s="119"/>
      <c r="ADA100" s="119"/>
      <c r="ADB100" s="119"/>
      <c r="ADC100" s="119"/>
      <c r="ADD100" s="119"/>
      <c r="ADE100" s="119"/>
      <c r="ADF100" s="119"/>
      <c r="ADG100" s="119"/>
      <c r="ADH100" s="119"/>
      <c r="ADI100" s="119"/>
      <c r="ADJ100" s="119"/>
      <c r="ADK100" s="119"/>
      <c r="ADL100" s="119"/>
      <c r="ADM100" s="119"/>
      <c r="ADN100" s="119"/>
      <c r="ADO100" s="119"/>
      <c r="ADP100" s="119"/>
      <c r="ADQ100" s="119"/>
      <c r="ADR100" s="119"/>
      <c r="ADS100" s="119"/>
      <c r="ADT100" s="119"/>
      <c r="ADU100" s="119"/>
      <c r="ADV100" s="119"/>
      <c r="ADW100" s="119"/>
      <c r="ADX100" s="119"/>
      <c r="ADY100" s="119"/>
      <c r="ADZ100" s="119"/>
      <c r="AEA100" s="119"/>
      <c r="AEB100" s="119"/>
      <c r="AEC100" s="119"/>
      <c r="AED100" s="119"/>
      <c r="AEE100" s="119"/>
      <c r="AEF100" s="119"/>
      <c r="AEG100" s="119"/>
      <c r="AEH100" s="119"/>
      <c r="AEI100" s="119"/>
      <c r="AEJ100" s="119"/>
      <c r="AEK100" s="119"/>
      <c r="AEL100" s="119"/>
      <c r="AEM100" s="119"/>
      <c r="AEN100" s="119"/>
      <c r="AEO100" s="119"/>
      <c r="AEP100" s="119"/>
      <c r="AEQ100" s="119"/>
      <c r="AER100" s="119"/>
      <c r="AES100" s="119"/>
      <c r="AET100" s="119"/>
      <c r="AEU100" s="119"/>
      <c r="AEV100" s="119"/>
      <c r="AEW100" s="119"/>
      <c r="AEX100" s="119"/>
      <c r="AEY100" s="119"/>
      <c r="AEZ100" s="119"/>
      <c r="AFA100" s="119"/>
      <c r="AFB100" s="119"/>
      <c r="AFC100" s="119"/>
      <c r="AFD100" s="119"/>
      <c r="AFE100" s="119"/>
      <c r="AFF100" s="119"/>
      <c r="AFG100" s="119"/>
      <c r="AFH100" s="119"/>
      <c r="AFI100" s="119"/>
      <c r="AFJ100" s="119"/>
      <c r="AFK100" s="119"/>
      <c r="AFL100" s="119"/>
      <c r="AFM100" s="119"/>
      <c r="AFN100" s="119"/>
      <c r="AFO100" s="119"/>
      <c r="AFP100" s="119"/>
      <c r="AFQ100" s="119"/>
      <c r="AFR100" s="119"/>
      <c r="AFS100" s="119"/>
      <c r="AFT100" s="119"/>
      <c r="AFU100" s="119"/>
      <c r="AFV100" s="119"/>
      <c r="AFW100" s="119"/>
      <c r="AFX100" s="119"/>
      <c r="AFY100" s="119"/>
      <c r="AFZ100" s="119"/>
      <c r="AGA100" s="119"/>
      <c r="AGB100" s="119"/>
      <c r="AGC100" s="119"/>
      <c r="AGD100" s="119"/>
      <c r="AGE100" s="119"/>
      <c r="AGF100" s="119"/>
      <c r="AGG100" s="119"/>
      <c r="AGH100" s="119"/>
      <c r="AGI100" s="119"/>
      <c r="AGJ100" s="119"/>
      <c r="AGK100" s="119"/>
      <c r="AGL100" s="119"/>
      <c r="AGM100" s="119"/>
      <c r="AGN100" s="119"/>
      <c r="AGO100" s="119"/>
      <c r="AGP100" s="119"/>
      <c r="AGQ100" s="119"/>
      <c r="AGR100" s="119"/>
      <c r="AGS100" s="119"/>
      <c r="AGT100" s="119"/>
      <c r="AGU100" s="119"/>
      <c r="AGV100" s="119"/>
      <c r="AGW100" s="119"/>
      <c r="AGX100" s="119"/>
      <c r="AGY100" s="119"/>
      <c r="AGZ100" s="119"/>
      <c r="AHA100" s="119"/>
      <c r="AHB100" s="119"/>
      <c r="AHC100" s="119"/>
      <c r="AHD100" s="119"/>
      <c r="AHE100" s="119"/>
      <c r="AHF100" s="119"/>
      <c r="AHG100" s="119"/>
      <c r="AHH100" s="119"/>
      <c r="AHI100" s="119"/>
      <c r="AHJ100" s="119"/>
      <c r="AHK100" s="119"/>
      <c r="AHL100" s="119"/>
      <c r="AHM100" s="119"/>
      <c r="AHN100" s="119"/>
      <c r="AHO100" s="119"/>
      <c r="AHP100" s="119"/>
      <c r="AHQ100" s="119"/>
      <c r="AHR100" s="119"/>
      <c r="AHS100" s="119"/>
      <c r="AHT100" s="119"/>
      <c r="AHU100" s="119"/>
      <c r="AHV100" s="119"/>
      <c r="AHW100" s="119"/>
      <c r="AHX100" s="119"/>
      <c r="AHY100" s="119"/>
      <c r="AHZ100" s="119"/>
      <c r="AIA100" s="119"/>
      <c r="AIB100" s="119"/>
      <c r="AIC100" s="119"/>
      <c r="AID100" s="119"/>
      <c r="AIE100" s="119"/>
      <c r="AIF100" s="119"/>
      <c r="AIG100" s="119"/>
      <c r="AIH100" s="119"/>
      <c r="AII100" s="119"/>
      <c r="AIJ100" s="119"/>
      <c r="AIK100" s="119"/>
      <c r="AIL100" s="119"/>
      <c r="AIM100" s="119"/>
      <c r="AIN100" s="119"/>
      <c r="AIO100" s="119"/>
      <c r="AIP100" s="119"/>
      <c r="AIQ100" s="119"/>
      <c r="AIR100" s="119"/>
      <c r="AIS100" s="119"/>
      <c r="AIT100" s="119"/>
      <c r="AIU100" s="119"/>
      <c r="AIV100" s="119"/>
      <c r="AIW100" s="119"/>
      <c r="AIX100" s="119"/>
      <c r="AIY100" s="119"/>
      <c r="AIZ100" s="119"/>
      <c r="AJA100" s="119"/>
      <c r="AJB100" s="119"/>
      <c r="AJC100" s="119"/>
      <c r="AJD100" s="119"/>
      <c r="AJE100" s="119"/>
      <c r="AJF100" s="119"/>
      <c r="AJG100" s="119"/>
      <c r="AJH100" s="119"/>
      <c r="AJI100" s="119"/>
      <c r="AJJ100" s="119"/>
      <c r="AJK100" s="119"/>
      <c r="AJL100" s="119"/>
      <c r="AJM100" s="119"/>
      <c r="AJN100" s="119"/>
      <c r="AJO100" s="119"/>
      <c r="AJP100" s="119"/>
      <c r="AJQ100" s="119"/>
      <c r="AJR100" s="119"/>
      <c r="AJS100" s="119"/>
      <c r="AJT100" s="119"/>
      <c r="AJU100" s="119"/>
      <c r="AJV100" s="119"/>
      <c r="AJW100" s="119"/>
      <c r="AJX100" s="119"/>
      <c r="AJY100" s="119"/>
      <c r="AJZ100" s="119"/>
      <c r="AKA100" s="119"/>
      <c r="AKB100" s="119"/>
      <c r="AKC100" s="119"/>
      <c r="AKD100" s="119"/>
      <c r="AKE100" s="119"/>
      <c r="AKF100" s="119"/>
      <c r="AKG100" s="119"/>
      <c r="AKH100" s="119"/>
      <c r="AKI100" s="119"/>
      <c r="AKJ100" s="119"/>
      <c r="AKK100" s="119"/>
      <c r="AKL100" s="119"/>
      <c r="AKM100" s="119"/>
      <c r="AKN100" s="119"/>
      <c r="AKO100" s="119"/>
      <c r="AKP100" s="119"/>
      <c r="AKQ100" s="119"/>
      <c r="AKR100" s="119"/>
      <c r="AKS100" s="119"/>
      <c r="AKT100" s="119"/>
      <c r="AKU100" s="119"/>
      <c r="AKV100" s="119"/>
      <c r="AKW100" s="119"/>
      <c r="AKX100" s="119"/>
      <c r="AKY100" s="119"/>
      <c r="AKZ100" s="119"/>
      <c r="ALA100" s="119"/>
      <c r="ALB100" s="119"/>
      <c r="ALC100" s="119"/>
      <c r="ALD100" s="119"/>
      <c r="ALE100" s="119"/>
      <c r="ALF100" s="119"/>
      <c r="ALG100" s="119"/>
      <c r="ALH100" s="119"/>
      <c r="ALI100" s="119"/>
      <c r="ALJ100" s="119"/>
      <c r="ALK100" s="119"/>
      <c r="ALL100" s="119"/>
      <c r="ALM100" s="119"/>
      <c r="ALN100" s="119"/>
      <c r="ALO100" s="119"/>
      <c r="ALP100" s="119"/>
      <c r="ALQ100" s="119"/>
      <c r="ALR100" s="119"/>
      <c r="ALS100" s="119"/>
      <c r="ALT100" s="119"/>
      <c r="ALU100" s="119"/>
      <c r="ALV100" s="119"/>
      <c r="ALW100" s="119"/>
      <c r="ALX100" s="119"/>
      <c r="ALY100" s="119"/>
      <c r="ALZ100" s="119"/>
      <c r="AMA100" s="119"/>
      <c r="AMB100" s="119"/>
      <c r="AMC100" s="119"/>
      <c r="AMD100" s="119"/>
      <c r="AME100" s="119"/>
      <c r="AMF100" s="119"/>
      <c r="AMG100" s="119"/>
      <c r="AMH100" s="119"/>
      <c r="AMI100" s="119"/>
      <c r="AMJ100" s="119"/>
      <c r="AMK100" s="119"/>
      <c r="AML100" s="119"/>
      <c r="AMM100" s="119"/>
      <c r="AMN100" s="119"/>
      <c r="AMO100" s="119"/>
      <c r="AMP100" s="119"/>
      <c r="AMQ100" s="119"/>
      <c r="AMR100" s="119"/>
      <c r="AMS100" s="119"/>
      <c r="AMT100" s="119"/>
      <c r="AMU100" s="119"/>
      <c r="AMV100" s="119"/>
      <c r="AMW100" s="119"/>
      <c r="AMX100" s="119"/>
      <c r="AMY100" s="119"/>
      <c r="AMZ100" s="119"/>
      <c r="ANA100" s="119"/>
      <c r="ANB100" s="119"/>
      <c r="ANC100" s="119"/>
      <c r="AND100" s="119"/>
      <c r="ANE100" s="119"/>
      <c r="ANF100" s="119"/>
      <c r="ANG100" s="119"/>
      <c r="ANH100" s="119"/>
      <c r="ANI100" s="119"/>
      <c r="ANJ100" s="119"/>
      <c r="ANK100" s="119"/>
      <c r="ANL100" s="119"/>
      <c r="ANM100" s="119"/>
      <c r="ANN100" s="119"/>
      <c r="ANO100" s="119"/>
      <c r="ANP100" s="119"/>
      <c r="ANQ100" s="119"/>
      <c r="ANR100" s="119"/>
      <c r="ANS100" s="119"/>
      <c r="ANT100" s="119"/>
      <c r="ANU100" s="119"/>
      <c r="ANV100" s="119"/>
      <c r="ANW100" s="119"/>
      <c r="ANX100" s="119"/>
      <c r="ANY100" s="119"/>
      <c r="ANZ100" s="119"/>
      <c r="AOA100" s="119"/>
      <c r="AOB100" s="119"/>
      <c r="AOC100" s="119"/>
      <c r="AOD100" s="119"/>
      <c r="AOE100" s="119"/>
      <c r="AOF100" s="119"/>
      <c r="AOG100" s="119"/>
      <c r="AOH100" s="119"/>
      <c r="AOI100" s="119"/>
      <c r="AOJ100" s="119"/>
      <c r="AOK100" s="119"/>
      <c r="AOL100" s="119"/>
      <c r="AOM100" s="119"/>
      <c r="AON100" s="119"/>
      <c r="AOO100" s="119"/>
      <c r="AOP100" s="119"/>
      <c r="AOQ100" s="119"/>
      <c r="AOR100" s="119"/>
      <c r="AOS100" s="119"/>
      <c r="AOT100" s="119"/>
      <c r="AOU100" s="119"/>
      <c r="AOV100" s="119"/>
      <c r="AOW100" s="119"/>
      <c r="AOX100" s="119"/>
      <c r="AOY100" s="119"/>
      <c r="AOZ100" s="119"/>
      <c r="APA100" s="119"/>
      <c r="APB100" s="119"/>
      <c r="APC100" s="119"/>
      <c r="APD100" s="119"/>
      <c r="APE100" s="119"/>
      <c r="APF100" s="119"/>
      <c r="APG100" s="119"/>
      <c r="APH100" s="119"/>
      <c r="API100" s="119"/>
      <c r="APJ100" s="119"/>
      <c r="APK100" s="119"/>
      <c r="APL100" s="119"/>
      <c r="APM100" s="119"/>
      <c r="APN100" s="119"/>
      <c r="APO100" s="119"/>
      <c r="APP100" s="119"/>
      <c r="APQ100" s="119"/>
      <c r="APR100" s="119"/>
      <c r="APS100" s="119"/>
      <c r="APT100" s="119"/>
      <c r="APU100" s="119"/>
      <c r="APV100" s="119"/>
      <c r="APW100" s="119"/>
      <c r="APX100" s="119"/>
      <c r="APY100" s="119"/>
      <c r="APZ100" s="119"/>
      <c r="AQA100" s="119"/>
      <c r="AQB100" s="119"/>
      <c r="AQC100" s="119"/>
      <c r="AQD100" s="119"/>
      <c r="AQE100" s="119"/>
      <c r="AQF100" s="119"/>
      <c r="AQG100" s="119"/>
      <c r="AQH100" s="119"/>
      <c r="AQI100" s="119"/>
      <c r="AQJ100" s="119"/>
      <c r="AQK100" s="119"/>
      <c r="AQL100" s="119"/>
      <c r="AQM100" s="119"/>
      <c r="AQN100" s="119"/>
      <c r="AQO100" s="119"/>
      <c r="AQP100" s="119"/>
      <c r="AQQ100" s="119"/>
      <c r="AQR100" s="119"/>
      <c r="AQS100" s="119"/>
      <c r="AQT100" s="119"/>
      <c r="AQU100" s="119"/>
      <c r="AQV100" s="119"/>
      <c r="AQW100" s="119"/>
      <c r="AQX100" s="119"/>
      <c r="AQY100" s="119"/>
      <c r="AQZ100" s="119"/>
      <c r="ARA100" s="119"/>
      <c r="ARB100" s="119"/>
      <c r="ARC100" s="119"/>
      <c r="ARD100" s="119"/>
      <c r="ARE100" s="119"/>
      <c r="ARF100" s="119"/>
      <c r="ARG100" s="119"/>
      <c r="ARH100" s="119"/>
      <c r="ARI100" s="119"/>
      <c r="ARJ100" s="119"/>
      <c r="ARK100" s="119"/>
      <c r="ARL100" s="119"/>
      <c r="ARM100" s="119"/>
      <c r="ARN100" s="119"/>
      <c r="ARO100" s="119"/>
      <c r="ARP100" s="119"/>
      <c r="ARQ100" s="119"/>
      <c r="ARR100" s="119"/>
      <c r="ARS100" s="119"/>
      <c r="ART100" s="119"/>
      <c r="ARU100" s="119"/>
      <c r="ARV100" s="119"/>
      <c r="ARW100" s="119"/>
      <c r="ARX100" s="119"/>
      <c r="ARY100" s="119"/>
      <c r="ARZ100" s="119"/>
      <c r="ASA100" s="119"/>
      <c r="ASB100" s="119"/>
      <c r="ASC100" s="119"/>
      <c r="ASD100" s="119"/>
      <c r="ASE100" s="119"/>
      <c r="ASF100" s="119"/>
      <c r="ASG100" s="119"/>
      <c r="ASH100" s="119"/>
      <c r="ASI100" s="119"/>
      <c r="ASJ100" s="119"/>
      <c r="ASK100" s="119"/>
      <c r="ASL100" s="119"/>
      <c r="ASM100" s="119"/>
      <c r="ASN100" s="119"/>
      <c r="ASO100" s="119"/>
      <c r="ASP100" s="119"/>
      <c r="ASQ100" s="119"/>
      <c r="ASR100" s="119"/>
      <c r="ASS100" s="119"/>
      <c r="AST100" s="119"/>
      <c r="ASU100" s="119"/>
      <c r="ASV100" s="119"/>
      <c r="ASW100" s="119"/>
      <c r="ASX100" s="119"/>
      <c r="ASY100" s="119"/>
      <c r="ASZ100" s="119"/>
      <c r="ATA100" s="119"/>
      <c r="ATB100" s="119"/>
      <c r="ATC100" s="119"/>
      <c r="ATD100" s="119"/>
      <c r="ATE100" s="119"/>
      <c r="ATF100" s="119"/>
      <c r="ATG100" s="119"/>
      <c r="ATH100" s="119"/>
      <c r="ATI100" s="119"/>
      <c r="ATJ100" s="119"/>
      <c r="ATK100" s="119"/>
      <c r="ATL100" s="119"/>
      <c r="ATM100" s="119"/>
      <c r="ATN100" s="119"/>
      <c r="ATO100" s="119"/>
      <c r="ATP100" s="119"/>
      <c r="ATQ100" s="119"/>
      <c r="ATR100" s="119"/>
      <c r="ATS100" s="119"/>
      <c r="ATT100" s="119"/>
      <c r="ATU100" s="119"/>
      <c r="ATV100" s="119"/>
      <c r="ATW100" s="119"/>
      <c r="ATX100" s="119"/>
      <c r="ATY100" s="119"/>
      <c r="ATZ100" s="119"/>
      <c r="AUA100" s="119"/>
      <c r="AUB100" s="119"/>
      <c r="AUC100" s="119"/>
      <c r="AUD100" s="119"/>
      <c r="AUE100" s="119"/>
      <c r="AUF100" s="119"/>
      <c r="AUG100" s="119"/>
      <c r="AUH100" s="119"/>
      <c r="AUI100" s="119"/>
      <c r="AUJ100" s="119"/>
      <c r="AUK100" s="119"/>
      <c r="AUL100" s="119"/>
      <c r="AUM100" s="119"/>
      <c r="AUN100" s="119"/>
      <c r="AUO100" s="119"/>
      <c r="AUP100" s="119"/>
      <c r="AUQ100" s="119"/>
      <c r="AUR100" s="119"/>
      <c r="AUS100" s="119"/>
      <c r="AUT100" s="119"/>
      <c r="AUU100" s="119"/>
      <c r="AUV100" s="119"/>
      <c r="AUW100" s="119"/>
      <c r="AUX100" s="119"/>
      <c r="AUY100" s="119"/>
      <c r="AUZ100" s="119"/>
      <c r="AVA100" s="119"/>
      <c r="AVB100" s="119"/>
      <c r="AVC100" s="119"/>
      <c r="AVD100" s="119"/>
      <c r="AVE100" s="119"/>
      <c r="AVF100" s="119"/>
      <c r="AVG100" s="119"/>
      <c r="AVH100" s="119"/>
      <c r="AVI100" s="119"/>
      <c r="AVJ100" s="119"/>
      <c r="AVK100" s="119"/>
      <c r="AVL100" s="119"/>
      <c r="AVM100" s="119"/>
      <c r="AVN100" s="119"/>
      <c r="AVO100" s="119"/>
      <c r="AVP100" s="119"/>
      <c r="AVQ100" s="119"/>
      <c r="AVR100" s="119"/>
      <c r="AVS100" s="119"/>
      <c r="AVT100" s="119"/>
      <c r="AVU100" s="119"/>
      <c r="AVV100" s="119"/>
      <c r="AVW100" s="119"/>
      <c r="AVX100" s="119"/>
      <c r="AVY100" s="119"/>
      <c r="AVZ100" s="119"/>
      <c r="AWA100" s="119"/>
      <c r="AWB100" s="119"/>
      <c r="AWC100" s="119"/>
      <c r="AWD100" s="119"/>
      <c r="AWE100" s="119"/>
      <c r="AWF100" s="119"/>
      <c r="AWG100" s="119"/>
      <c r="AWH100" s="119"/>
      <c r="AWI100" s="119"/>
      <c r="AWJ100" s="119"/>
      <c r="AWK100" s="119"/>
      <c r="AWL100" s="119"/>
      <c r="AWM100" s="119"/>
      <c r="AWN100" s="119"/>
      <c r="AWO100" s="119"/>
      <c r="AWP100" s="119"/>
      <c r="AWQ100" s="119"/>
      <c r="AWR100" s="119"/>
      <c r="AWS100" s="119"/>
      <c r="AWT100" s="119"/>
      <c r="AWU100" s="119"/>
      <c r="AWV100" s="119"/>
      <c r="AWW100" s="119"/>
      <c r="AWX100" s="119"/>
      <c r="AWY100" s="119"/>
      <c r="AWZ100" s="119"/>
      <c r="AXA100" s="119"/>
      <c r="AXB100" s="119"/>
      <c r="AXC100" s="119"/>
      <c r="AXD100" s="119"/>
      <c r="AXE100" s="119"/>
      <c r="AXF100" s="119"/>
      <c r="AXG100" s="119"/>
      <c r="AXH100" s="119"/>
      <c r="AXI100" s="119"/>
      <c r="AXJ100" s="119"/>
      <c r="AXK100" s="119"/>
      <c r="AXL100" s="119"/>
      <c r="AXM100" s="119"/>
      <c r="AXN100" s="119"/>
      <c r="AXO100" s="119"/>
      <c r="AXP100" s="119"/>
      <c r="AXQ100" s="119"/>
      <c r="AXR100" s="119"/>
      <c r="AXS100" s="119"/>
      <c r="AXT100" s="119"/>
      <c r="AXU100" s="119"/>
      <c r="AXV100" s="119"/>
      <c r="AXW100" s="119"/>
      <c r="AXX100" s="119"/>
      <c r="AXY100" s="119"/>
      <c r="AXZ100" s="119"/>
      <c r="AYA100" s="119"/>
      <c r="AYB100" s="119"/>
      <c r="AYC100" s="119"/>
      <c r="AYD100" s="119"/>
      <c r="AYE100" s="119"/>
      <c r="AYF100" s="119"/>
      <c r="AYG100" s="119"/>
      <c r="AYH100" s="119"/>
      <c r="AYI100" s="119"/>
      <c r="AYJ100" s="119"/>
      <c r="AYK100" s="119"/>
      <c r="AYL100" s="119"/>
      <c r="AYM100" s="119"/>
      <c r="AYN100" s="119"/>
      <c r="AYO100" s="119"/>
      <c r="AYP100" s="119"/>
      <c r="AYQ100" s="119"/>
      <c r="AYR100" s="119"/>
      <c r="AYS100" s="119"/>
      <c r="AYT100" s="119"/>
      <c r="AYU100" s="119"/>
      <c r="AYV100" s="119"/>
      <c r="AYW100" s="119"/>
      <c r="AYX100" s="119"/>
      <c r="AYY100" s="119"/>
      <c r="AYZ100" s="119"/>
      <c r="AZA100" s="119"/>
      <c r="AZB100" s="119"/>
      <c r="AZC100" s="119"/>
      <c r="AZD100" s="119"/>
      <c r="AZE100" s="119"/>
      <c r="AZF100" s="119"/>
      <c r="AZG100" s="119"/>
      <c r="AZH100" s="119"/>
      <c r="AZI100" s="119"/>
      <c r="AZJ100" s="119"/>
      <c r="AZK100" s="119"/>
      <c r="AZL100" s="119"/>
      <c r="AZM100" s="119"/>
      <c r="AZN100" s="119"/>
      <c r="AZO100" s="119"/>
      <c r="AZP100" s="119"/>
      <c r="AZQ100" s="119"/>
      <c r="AZR100" s="119"/>
      <c r="AZS100" s="119"/>
      <c r="AZT100" s="119"/>
      <c r="AZU100" s="119"/>
      <c r="AZV100" s="119"/>
      <c r="AZW100" s="119"/>
      <c r="AZX100" s="119"/>
      <c r="AZY100" s="119"/>
      <c r="AZZ100" s="119"/>
      <c r="BAA100" s="119"/>
      <c r="BAB100" s="119"/>
      <c r="BAC100" s="119"/>
      <c r="BAD100" s="119"/>
      <c r="BAE100" s="119"/>
      <c r="BAF100" s="119"/>
      <c r="BAG100" s="119"/>
      <c r="BAH100" s="119"/>
      <c r="BAI100" s="119"/>
      <c r="BAJ100" s="119"/>
      <c r="BAK100" s="119"/>
      <c r="BAL100" s="119"/>
      <c r="BAM100" s="119"/>
      <c r="BAN100" s="119"/>
      <c r="BAO100" s="119"/>
      <c r="BAP100" s="119"/>
      <c r="BAQ100" s="119"/>
      <c r="BAR100" s="119"/>
      <c r="BAS100" s="119"/>
      <c r="BAT100" s="119"/>
      <c r="BAU100" s="119"/>
      <c r="BAV100" s="119"/>
      <c r="BAW100" s="119"/>
      <c r="BAX100" s="119"/>
      <c r="BAY100" s="119"/>
      <c r="BAZ100" s="119"/>
      <c r="BBA100" s="119"/>
      <c r="BBB100" s="119"/>
      <c r="BBC100" s="119"/>
      <c r="BBD100" s="119"/>
      <c r="BBE100" s="119"/>
      <c r="BBF100" s="119"/>
      <c r="BBG100" s="119"/>
      <c r="BBH100" s="119"/>
      <c r="BBI100" s="119"/>
      <c r="BBJ100" s="119"/>
      <c r="BBK100" s="119"/>
      <c r="BBL100" s="119"/>
      <c r="BBM100" s="119"/>
      <c r="BBN100" s="119"/>
      <c r="BBO100" s="119"/>
      <c r="BBP100" s="119"/>
      <c r="BBQ100" s="119"/>
      <c r="BBR100" s="119"/>
      <c r="BBS100" s="119"/>
      <c r="BBT100" s="119"/>
      <c r="BBU100" s="119"/>
      <c r="BBV100" s="119"/>
      <c r="BBW100" s="119"/>
      <c r="BBX100" s="119"/>
      <c r="BBY100" s="119"/>
      <c r="BBZ100" s="119"/>
      <c r="BCA100" s="119"/>
      <c r="BCB100" s="119"/>
      <c r="BCC100" s="119"/>
      <c r="BCD100" s="119"/>
      <c r="BCE100" s="119"/>
      <c r="BCF100" s="119"/>
      <c r="BCG100" s="119"/>
      <c r="BCH100" s="119"/>
      <c r="BCI100" s="119"/>
      <c r="BCJ100" s="119"/>
      <c r="BCK100" s="119"/>
      <c r="BCL100" s="119"/>
      <c r="BCM100" s="119"/>
      <c r="BCN100" s="119"/>
      <c r="BCO100" s="119"/>
      <c r="BCP100" s="119"/>
      <c r="BCQ100" s="119"/>
      <c r="BCR100" s="119"/>
      <c r="BCS100" s="119"/>
      <c r="BCT100" s="119"/>
      <c r="BCU100" s="119"/>
      <c r="BCV100" s="119"/>
      <c r="BCW100" s="119"/>
      <c r="BCX100" s="119"/>
      <c r="BCY100" s="119"/>
      <c r="BCZ100" s="119"/>
      <c r="BDA100" s="119"/>
      <c r="BDB100" s="119"/>
      <c r="BDC100" s="119"/>
      <c r="BDD100" s="119"/>
      <c r="BDE100" s="119"/>
      <c r="BDF100" s="119"/>
      <c r="BDG100" s="119"/>
      <c r="BDH100" s="119"/>
      <c r="BDI100" s="119"/>
      <c r="BDJ100" s="119"/>
      <c r="BDK100" s="119"/>
      <c r="BDL100" s="119"/>
      <c r="BDM100" s="119"/>
      <c r="BDN100" s="119"/>
      <c r="BDO100" s="119"/>
      <c r="BDP100" s="119"/>
      <c r="BDQ100" s="119"/>
      <c r="BDR100" s="119"/>
      <c r="BDS100" s="119"/>
      <c r="BDT100" s="119"/>
      <c r="BDU100" s="119"/>
      <c r="BDV100" s="119"/>
      <c r="BDW100" s="119"/>
      <c r="BDX100" s="119"/>
      <c r="BDY100" s="119"/>
      <c r="BDZ100" s="119"/>
      <c r="BEA100" s="119"/>
      <c r="BEB100" s="119"/>
      <c r="BEC100" s="119"/>
      <c r="BED100" s="119"/>
      <c r="BEE100" s="119"/>
      <c r="BEF100" s="119"/>
      <c r="BEG100" s="119"/>
      <c r="BEH100" s="119"/>
      <c r="BEI100" s="119"/>
      <c r="BEJ100" s="119"/>
      <c r="BEK100" s="119"/>
      <c r="BEL100" s="119"/>
      <c r="BEM100" s="119"/>
      <c r="BEN100" s="119"/>
      <c r="BEO100" s="119"/>
      <c r="BEP100" s="119"/>
      <c r="BEQ100" s="119"/>
      <c r="BER100" s="119"/>
      <c r="BES100" s="119"/>
      <c r="BET100" s="119"/>
      <c r="BEU100" s="119"/>
      <c r="BEV100" s="119"/>
      <c r="BEW100" s="119"/>
      <c r="BEX100" s="119"/>
      <c r="BEY100" s="119"/>
      <c r="BEZ100" s="119"/>
      <c r="BFA100" s="119"/>
      <c r="BFB100" s="119"/>
      <c r="BFC100" s="119"/>
      <c r="BFD100" s="119"/>
      <c r="BFE100" s="119"/>
      <c r="BFF100" s="119"/>
      <c r="BFG100" s="119"/>
      <c r="BFH100" s="119"/>
      <c r="BFI100" s="119"/>
      <c r="BFJ100" s="119"/>
      <c r="BFK100" s="119"/>
      <c r="BFL100" s="119"/>
      <c r="BFM100" s="119"/>
      <c r="BFN100" s="119"/>
      <c r="BFO100" s="119"/>
      <c r="BFP100" s="119"/>
      <c r="BFQ100" s="119"/>
      <c r="BFR100" s="119"/>
      <c r="BFS100" s="119"/>
      <c r="BFT100" s="119"/>
      <c r="BFU100" s="119"/>
      <c r="BFV100" s="119"/>
      <c r="BFW100" s="119"/>
      <c r="BFX100" s="119"/>
      <c r="BFY100" s="119"/>
      <c r="BFZ100" s="119"/>
      <c r="BGA100" s="119"/>
      <c r="BGB100" s="119"/>
      <c r="BGC100" s="119"/>
      <c r="BGD100" s="119"/>
      <c r="BGE100" s="119"/>
      <c r="BGF100" s="119"/>
      <c r="BGG100" s="119"/>
      <c r="BGH100" s="119"/>
      <c r="BGI100" s="119"/>
      <c r="BGJ100" s="119"/>
      <c r="BGK100" s="119"/>
      <c r="BGL100" s="119"/>
      <c r="BGM100" s="119"/>
      <c r="BGN100" s="119"/>
      <c r="BGO100" s="119"/>
      <c r="BGP100" s="119"/>
      <c r="BGQ100" s="119"/>
      <c r="BGR100" s="119"/>
      <c r="BGS100" s="119"/>
      <c r="BGT100" s="119"/>
      <c r="BGU100" s="119"/>
      <c r="BGV100" s="119"/>
      <c r="BGW100" s="119"/>
      <c r="BGX100" s="119"/>
      <c r="BGY100" s="119"/>
      <c r="BGZ100" s="119"/>
      <c r="BHA100" s="119"/>
      <c r="BHB100" s="119"/>
      <c r="BHC100" s="119"/>
      <c r="BHD100" s="119"/>
      <c r="BHE100" s="119"/>
      <c r="BHF100" s="119"/>
      <c r="BHG100" s="119"/>
      <c r="BHH100" s="119"/>
      <c r="BHI100" s="119"/>
      <c r="BHJ100" s="119"/>
      <c r="BHK100" s="119"/>
      <c r="BHL100" s="119"/>
      <c r="BHM100" s="119"/>
      <c r="BHN100" s="119"/>
      <c r="BHO100" s="119"/>
      <c r="BHP100" s="119"/>
      <c r="BHQ100" s="119"/>
      <c r="BHR100" s="119"/>
      <c r="BHS100" s="119"/>
      <c r="BHT100" s="119"/>
      <c r="BHU100" s="119"/>
      <c r="BHV100" s="119"/>
      <c r="BHW100" s="119"/>
      <c r="BHX100" s="119"/>
      <c r="BHY100" s="119"/>
      <c r="BHZ100" s="119"/>
      <c r="BIA100" s="119"/>
      <c r="BIB100" s="119"/>
      <c r="BIC100" s="119"/>
      <c r="BID100" s="119"/>
      <c r="BIE100" s="119"/>
      <c r="BIF100" s="119"/>
      <c r="BIG100" s="119"/>
      <c r="BIH100" s="119"/>
      <c r="BII100" s="119"/>
      <c r="BIJ100" s="119"/>
      <c r="BIK100" s="119"/>
      <c r="BIL100" s="119"/>
      <c r="BIM100" s="119"/>
      <c r="BIN100" s="119"/>
      <c r="BIO100" s="119"/>
      <c r="BIP100" s="119"/>
      <c r="BIQ100" s="119"/>
      <c r="BIR100" s="119"/>
      <c r="BIS100" s="119"/>
      <c r="BIT100" s="119"/>
      <c r="BIU100" s="119"/>
      <c r="BIV100" s="119"/>
      <c r="BIW100" s="119"/>
      <c r="BIX100" s="119"/>
      <c r="BIY100" s="119"/>
      <c r="BIZ100" s="119"/>
      <c r="BJA100" s="119"/>
      <c r="BJB100" s="119"/>
      <c r="BJC100" s="119"/>
      <c r="BJD100" s="119"/>
      <c r="BJE100" s="119"/>
      <c r="BJF100" s="119"/>
      <c r="BJG100" s="119"/>
      <c r="BJH100" s="119"/>
      <c r="BJI100" s="119"/>
      <c r="BJJ100" s="119"/>
      <c r="BJK100" s="119"/>
      <c r="BJL100" s="119"/>
      <c r="BJM100" s="119"/>
      <c r="BJN100" s="119"/>
      <c r="BJO100" s="119"/>
      <c r="BJP100" s="119"/>
      <c r="BJQ100" s="119"/>
      <c r="BJR100" s="119"/>
      <c r="BJS100" s="119"/>
      <c r="BJT100" s="119"/>
      <c r="BJU100" s="119"/>
      <c r="BJV100" s="119"/>
      <c r="BJW100" s="119"/>
      <c r="BJX100" s="119"/>
      <c r="BJY100" s="119"/>
      <c r="BJZ100" s="119"/>
      <c r="BKA100" s="119"/>
      <c r="BKB100" s="119"/>
      <c r="BKC100" s="119"/>
      <c r="BKD100" s="119"/>
      <c r="BKE100" s="119"/>
      <c r="BKF100" s="119"/>
      <c r="BKG100" s="119"/>
      <c r="BKH100" s="119"/>
      <c r="BKI100" s="119"/>
      <c r="BKJ100" s="119"/>
      <c r="BKK100" s="119"/>
      <c r="BKL100" s="119"/>
      <c r="BKM100" s="119"/>
      <c r="BKN100" s="119"/>
      <c r="BKO100" s="119"/>
      <c r="BKP100" s="119"/>
      <c r="BKQ100" s="119"/>
      <c r="BKR100" s="119"/>
      <c r="BKS100" s="119"/>
      <c r="BKT100" s="119"/>
      <c r="BKU100" s="119"/>
      <c r="BKV100" s="119"/>
      <c r="BKW100" s="119"/>
      <c r="BKX100" s="119"/>
      <c r="BKY100" s="119"/>
      <c r="BKZ100" s="119"/>
      <c r="BLA100" s="119"/>
      <c r="BLB100" s="119"/>
      <c r="BLC100" s="119"/>
      <c r="BLD100" s="119"/>
      <c r="BLE100" s="119"/>
      <c r="BLF100" s="119"/>
      <c r="BLG100" s="119"/>
      <c r="BLH100" s="119"/>
      <c r="BLI100" s="119"/>
      <c r="BLJ100" s="119"/>
      <c r="BLK100" s="119"/>
      <c r="BLL100" s="119"/>
      <c r="BLM100" s="119"/>
      <c r="BLN100" s="119"/>
      <c r="BLO100" s="119"/>
      <c r="BLP100" s="119"/>
      <c r="BLQ100" s="119"/>
      <c r="BLR100" s="119"/>
      <c r="BLS100" s="119"/>
      <c r="BLT100" s="119"/>
      <c r="BLU100" s="119"/>
      <c r="BLV100" s="119"/>
      <c r="BLW100" s="119"/>
      <c r="BLX100" s="119"/>
      <c r="BLY100" s="119"/>
      <c r="BLZ100" s="119"/>
      <c r="BMA100" s="119"/>
      <c r="BMB100" s="119"/>
      <c r="BMC100" s="119"/>
      <c r="BMD100" s="119"/>
      <c r="BME100" s="119"/>
      <c r="BMF100" s="119"/>
      <c r="BMG100" s="119"/>
      <c r="BMH100" s="119"/>
      <c r="BMI100" s="119"/>
      <c r="BMJ100" s="119"/>
      <c r="BMK100" s="119"/>
      <c r="BML100" s="119"/>
      <c r="BMM100" s="119"/>
      <c r="BMN100" s="119"/>
      <c r="BMO100" s="119"/>
      <c r="BMP100" s="119"/>
      <c r="BMQ100" s="119"/>
      <c r="BMR100" s="119"/>
      <c r="BMS100" s="119"/>
      <c r="BMT100" s="119"/>
      <c r="BMU100" s="119"/>
      <c r="BMV100" s="119"/>
    </row>
    <row r="101" spans="1:1712" s="154" customFormat="1" ht="64.5" thickBot="1" x14ac:dyDescent="0.25">
      <c r="A101" s="95" t="s">
        <v>1209</v>
      </c>
      <c r="B101" s="95" t="s">
        <v>1315</v>
      </c>
      <c r="C101" s="158">
        <f>1.2+0.03+0.07</f>
        <v>1.3</v>
      </c>
      <c r="D101" s="128">
        <f>443712.44+13494.91</f>
        <v>457207.35</v>
      </c>
      <c r="E101" s="101">
        <f t="shared" si="33"/>
        <v>1.0497743939185534E-2</v>
      </c>
      <c r="F101" s="158" t="s">
        <v>1626</v>
      </c>
      <c r="G101" s="158">
        <v>1.3</v>
      </c>
      <c r="H101" s="128">
        <f>447922.04+9281.61-0.21</f>
        <v>457203.43999999994</v>
      </c>
      <c r="I101" s="101">
        <f t="shared" si="34"/>
        <v>1.0816678820674547E-2</v>
      </c>
      <c r="J101" s="156" t="s">
        <v>1626</v>
      </c>
      <c r="K101" s="95" t="s">
        <v>1156</v>
      </c>
      <c r="L101" s="68" t="s">
        <v>657</v>
      </c>
      <c r="M101" s="163" t="s">
        <v>1663</v>
      </c>
      <c r="N101" s="95" t="s">
        <v>14</v>
      </c>
      <c r="O101" s="163" t="s">
        <v>1265</v>
      </c>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9"/>
      <c r="BM101" s="119"/>
      <c r="BN101" s="119"/>
      <c r="BO101" s="119"/>
      <c r="BP101" s="119"/>
      <c r="BQ101" s="119"/>
      <c r="BR101" s="119"/>
      <c r="BS101" s="119"/>
      <c r="BT101" s="119"/>
      <c r="BU101" s="119"/>
      <c r="BV101" s="119"/>
      <c r="BW101" s="119"/>
      <c r="BX101" s="119"/>
      <c r="BY101" s="119"/>
      <c r="BZ101" s="119"/>
      <c r="CA101" s="119"/>
      <c r="CB101" s="119"/>
      <c r="CC101" s="119"/>
      <c r="CD101" s="119"/>
      <c r="CE101" s="119"/>
      <c r="CF101" s="119"/>
      <c r="CG101" s="119"/>
      <c r="CH101" s="119"/>
      <c r="CI101" s="119"/>
      <c r="CJ101" s="119"/>
      <c r="CK101" s="119"/>
      <c r="CL101" s="119"/>
      <c r="CM101" s="119"/>
      <c r="CN101" s="119"/>
      <c r="CO101" s="119"/>
      <c r="CP101" s="119"/>
      <c r="CQ101" s="119"/>
      <c r="CR101" s="119"/>
      <c r="CS101" s="119"/>
      <c r="CT101" s="119"/>
      <c r="CU101" s="119"/>
      <c r="CV101" s="119"/>
      <c r="CW101" s="119"/>
      <c r="CX101" s="119"/>
      <c r="CY101" s="119"/>
      <c r="CZ101" s="119"/>
      <c r="DA101" s="119"/>
      <c r="DB101" s="119"/>
      <c r="DC101" s="119"/>
      <c r="DD101" s="119"/>
      <c r="DE101" s="119"/>
      <c r="DF101" s="119"/>
      <c r="DG101" s="119"/>
      <c r="DH101" s="119"/>
      <c r="DI101" s="119"/>
      <c r="DJ101" s="119"/>
      <c r="DK101" s="119"/>
      <c r="DL101" s="119"/>
      <c r="DM101" s="119"/>
      <c r="DN101" s="119"/>
      <c r="DO101" s="119"/>
      <c r="DP101" s="119"/>
      <c r="DQ101" s="119"/>
      <c r="DR101" s="119"/>
      <c r="DS101" s="119"/>
      <c r="DT101" s="119"/>
      <c r="DU101" s="119"/>
      <c r="DV101" s="119"/>
      <c r="DW101" s="119"/>
      <c r="DX101" s="119"/>
      <c r="DY101" s="119"/>
      <c r="DZ101" s="119"/>
      <c r="EA101" s="119"/>
      <c r="EB101" s="119"/>
      <c r="EC101" s="119"/>
      <c r="ED101" s="119"/>
      <c r="EE101" s="119"/>
      <c r="EF101" s="119"/>
      <c r="EG101" s="119"/>
      <c r="EH101" s="119"/>
      <c r="EI101" s="119"/>
      <c r="EJ101" s="119"/>
      <c r="EK101" s="119"/>
      <c r="EL101" s="119"/>
      <c r="EM101" s="119"/>
      <c r="EN101" s="119"/>
      <c r="EO101" s="119"/>
      <c r="EP101" s="119"/>
      <c r="EQ101" s="119"/>
      <c r="ER101" s="119"/>
      <c r="ES101" s="119"/>
      <c r="ET101" s="119"/>
      <c r="EU101" s="119"/>
      <c r="EV101" s="119"/>
      <c r="EW101" s="119"/>
      <c r="EX101" s="119"/>
      <c r="EY101" s="119"/>
      <c r="EZ101" s="119"/>
      <c r="FA101" s="119"/>
      <c r="FB101" s="119"/>
      <c r="FC101" s="119"/>
      <c r="FD101" s="119"/>
      <c r="FE101" s="119"/>
      <c r="FF101" s="119"/>
      <c r="FG101" s="119"/>
      <c r="FH101" s="119"/>
      <c r="FI101" s="119"/>
      <c r="FJ101" s="119"/>
      <c r="FK101" s="119"/>
      <c r="FL101" s="119"/>
      <c r="FM101" s="119"/>
      <c r="FN101" s="119"/>
      <c r="FO101" s="119"/>
      <c r="FP101" s="119"/>
      <c r="FQ101" s="119"/>
      <c r="FR101" s="119"/>
      <c r="FS101" s="119"/>
      <c r="FT101" s="119"/>
      <c r="FU101" s="119"/>
      <c r="FV101" s="119"/>
      <c r="FW101" s="119"/>
      <c r="FX101" s="119"/>
      <c r="FY101" s="119"/>
      <c r="FZ101" s="119"/>
      <c r="GA101" s="119"/>
      <c r="GB101" s="119"/>
      <c r="GC101" s="119"/>
      <c r="GD101" s="119"/>
      <c r="GE101" s="119"/>
      <c r="GF101" s="119"/>
      <c r="GG101" s="119"/>
      <c r="GH101" s="119"/>
      <c r="GI101" s="119"/>
      <c r="GJ101" s="119"/>
      <c r="GK101" s="119"/>
      <c r="GL101" s="119"/>
      <c r="GM101" s="119"/>
      <c r="GN101" s="119"/>
      <c r="GO101" s="119"/>
      <c r="GP101" s="119"/>
      <c r="GQ101" s="119"/>
      <c r="GR101" s="119"/>
      <c r="GS101" s="119"/>
      <c r="GT101" s="119"/>
      <c r="GU101" s="119"/>
      <c r="GV101" s="119"/>
      <c r="GW101" s="119"/>
      <c r="GX101" s="119"/>
      <c r="GY101" s="119"/>
      <c r="GZ101" s="119"/>
      <c r="HA101" s="119"/>
      <c r="HB101" s="119"/>
      <c r="HC101" s="119"/>
      <c r="HD101" s="119"/>
      <c r="HE101" s="119"/>
      <c r="HF101" s="119"/>
      <c r="HG101" s="119"/>
      <c r="HH101" s="119"/>
      <c r="HI101" s="119"/>
      <c r="HJ101" s="119"/>
      <c r="HK101" s="119"/>
      <c r="HL101" s="119"/>
      <c r="HM101" s="119"/>
      <c r="HN101" s="119"/>
      <c r="HO101" s="119"/>
      <c r="HP101" s="119"/>
      <c r="HQ101" s="119"/>
      <c r="HR101" s="119"/>
      <c r="HS101" s="119"/>
      <c r="HT101" s="119"/>
      <c r="HU101" s="119"/>
      <c r="HV101" s="119"/>
      <c r="HW101" s="119"/>
      <c r="HX101" s="119"/>
      <c r="HY101" s="119"/>
      <c r="HZ101" s="119"/>
      <c r="IA101" s="119"/>
      <c r="IB101" s="119"/>
      <c r="IC101" s="119"/>
      <c r="ID101" s="119"/>
      <c r="IE101" s="119"/>
      <c r="IF101" s="119"/>
      <c r="IG101" s="119"/>
      <c r="IH101" s="119"/>
      <c r="II101" s="119"/>
      <c r="IJ101" s="119"/>
      <c r="IK101" s="119"/>
      <c r="IL101" s="119"/>
      <c r="IM101" s="119"/>
      <c r="IN101" s="119"/>
      <c r="IO101" s="119"/>
      <c r="IP101" s="119"/>
      <c r="IQ101" s="119"/>
      <c r="IR101" s="119"/>
      <c r="IS101" s="119"/>
      <c r="IT101" s="119"/>
      <c r="IU101" s="119"/>
      <c r="IV101" s="119"/>
      <c r="IW101" s="119"/>
      <c r="IX101" s="119"/>
      <c r="IY101" s="119"/>
      <c r="IZ101" s="119"/>
      <c r="JA101" s="119"/>
      <c r="JB101" s="119"/>
      <c r="JC101" s="119"/>
      <c r="JD101" s="119"/>
      <c r="JE101" s="119"/>
      <c r="JF101" s="119"/>
      <c r="JG101" s="119"/>
      <c r="JH101" s="119"/>
      <c r="JI101" s="119"/>
      <c r="JJ101" s="119"/>
      <c r="JK101" s="119"/>
      <c r="JL101" s="119"/>
      <c r="JM101" s="119"/>
      <c r="JN101" s="119"/>
      <c r="JO101" s="119"/>
      <c r="JP101" s="119"/>
      <c r="JQ101" s="119"/>
      <c r="JR101" s="119"/>
      <c r="JS101" s="119"/>
      <c r="JT101" s="119"/>
      <c r="JU101" s="119"/>
      <c r="JV101" s="119"/>
      <c r="JW101" s="119"/>
      <c r="JX101" s="119"/>
      <c r="JY101" s="119"/>
      <c r="JZ101" s="119"/>
      <c r="KA101" s="119"/>
      <c r="KB101" s="119"/>
      <c r="KC101" s="119"/>
      <c r="KD101" s="119"/>
      <c r="KE101" s="119"/>
      <c r="KF101" s="119"/>
      <c r="KG101" s="119"/>
      <c r="KH101" s="119"/>
      <c r="KI101" s="119"/>
      <c r="KJ101" s="119"/>
      <c r="KK101" s="119"/>
      <c r="KL101" s="119"/>
      <c r="KM101" s="119"/>
      <c r="KN101" s="119"/>
      <c r="KO101" s="119"/>
      <c r="KP101" s="119"/>
      <c r="KQ101" s="119"/>
      <c r="KR101" s="119"/>
      <c r="KS101" s="119"/>
      <c r="KT101" s="119"/>
      <c r="KU101" s="119"/>
      <c r="KV101" s="119"/>
      <c r="KW101" s="119"/>
      <c r="KX101" s="119"/>
      <c r="KY101" s="119"/>
      <c r="KZ101" s="119"/>
      <c r="LA101" s="119"/>
      <c r="LB101" s="119"/>
      <c r="LC101" s="119"/>
      <c r="LD101" s="119"/>
      <c r="LE101" s="119"/>
      <c r="LF101" s="119"/>
      <c r="LG101" s="119"/>
      <c r="LH101" s="119"/>
      <c r="LI101" s="119"/>
      <c r="LJ101" s="119"/>
      <c r="LK101" s="119"/>
      <c r="LL101" s="119"/>
      <c r="LM101" s="119"/>
      <c r="LN101" s="119"/>
      <c r="LO101" s="119"/>
      <c r="LP101" s="119"/>
      <c r="LQ101" s="119"/>
      <c r="LR101" s="119"/>
      <c r="LS101" s="119"/>
      <c r="LT101" s="119"/>
      <c r="LU101" s="119"/>
      <c r="LV101" s="119"/>
      <c r="LW101" s="119"/>
      <c r="LX101" s="119"/>
      <c r="LY101" s="119"/>
      <c r="LZ101" s="119"/>
      <c r="MA101" s="119"/>
      <c r="MB101" s="119"/>
      <c r="MC101" s="119"/>
      <c r="MD101" s="119"/>
      <c r="ME101" s="119"/>
      <c r="MF101" s="119"/>
      <c r="MG101" s="119"/>
      <c r="MH101" s="119"/>
      <c r="MI101" s="119"/>
      <c r="MJ101" s="119"/>
      <c r="MK101" s="119"/>
      <c r="ML101" s="119"/>
      <c r="MM101" s="119"/>
      <c r="MN101" s="119"/>
      <c r="MO101" s="119"/>
      <c r="MP101" s="119"/>
      <c r="MQ101" s="119"/>
      <c r="MR101" s="119"/>
      <c r="MS101" s="119"/>
      <c r="MT101" s="119"/>
      <c r="MU101" s="119"/>
      <c r="MV101" s="119"/>
      <c r="MW101" s="119"/>
      <c r="MX101" s="119"/>
      <c r="MY101" s="119"/>
      <c r="MZ101" s="119"/>
      <c r="NA101" s="119"/>
      <c r="NB101" s="119"/>
      <c r="NC101" s="119"/>
      <c r="ND101" s="119"/>
      <c r="NE101" s="119"/>
      <c r="NF101" s="119"/>
      <c r="NG101" s="119"/>
      <c r="NH101" s="119"/>
      <c r="NI101" s="119"/>
      <c r="NJ101" s="119"/>
      <c r="NK101" s="119"/>
      <c r="NL101" s="119"/>
      <c r="NM101" s="119"/>
      <c r="NN101" s="119"/>
      <c r="NO101" s="119"/>
      <c r="NP101" s="119"/>
      <c r="NQ101" s="119"/>
      <c r="NR101" s="119"/>
      <c r="NS101" s="119"/>
      <c r="NT101" s="119"/>
      <c r="NU101" s="119"/>
      <c r="NV101" s="119"/>
      <c r="NW101" s="119"/>
      <c r="NX101" s="119"/>
      <c r="NY101" s="119"/>
      <c r="NZ101" s="119"/>
      <c r="OA101" s="119"/>
      <c r="OB101" s="119"/>
      <c r="OC101" s="119"/>
      <c r="OD101" s="119"/>
      <c r="OE101" s="119"/>
      <c r="OF101" s="119"/>
      <c r="OG101" s="119"/>
      <c r="OH101" s="119"/>
      <c r="OI101" s="119"/>
      <c r="OJ101" s="119"/>
      <c r="OK101" s="119"/>
      <c r="OL101" s="119"/>
      <c r="OM101" s="119"/>
      <c r="ON101" s="119"/>
      <c r="OO101" s="119"/>
      <c r="OP101" s="119"/>
      <c r="OQ101" s="119"/>
      <c r="OR101" s="119"/>
      <c r="OS101" s="119"/>
      <c r="OT101" s="119"/>
      <c r="OU101" s="119"/>
      <c r="OV101" s="119"/>
      <c r="OW101" s="119"/>
      <c r="OX101" s="119"/>
      <c r="OY101" s="119"/>
      <c r="OZ101" s="119"/>
      <c r="PA101" s="119"/>
      <c r="PB101" s="119"/>
      <c r="PC101" s="119"/>
      <c r="PD101" s="119"/>
      <c r="PE101" s="119"/>
      <c r="PF101" s="119"/>
      <c r="PG101" s="119"/>
      <c r="PH101" s="119"/>
      <c r="PI101" s="119"/>
      <c r="PJ101" s="119"/>
      <c r="PK101" s="119"/>
      <c r="PL101" s="119"/>
      <c r="PM101" s="119"/>
      <c r="PN101" s="119"/>
      <c r="PO101" s="119"/>
      <c r="PP101" s="119"/>
      <c r="PQ101" s="119"/>
      <c r="PR101" s="119"/>
      <c r="PS101" s="119"/>
      <c r="PT101" s="119"/>
      <c r="PU101" s="119"/>
      <c r="PV101" s="119"/>
      <c r="PW101" s="119"/>
      <c r="PX101" s="119"/>
      <c r="PY101" s="119"/>
      <c r="PZ101" s="119"/>
      <c r="QA101" s="119"/>
      <c r="QB101" s="119"/>
      <c r="QC101" s="119"/>
      <c r="QD101" s="119"/>
      <c r="QE101" s="119"/>
      <c r="QF101" s="119"/>
      <c r="QG101" s="119"/>
      <c r="QH101" s="119"/>
      <c r="QI101" s="119"/>
      <c r="QJ101" s="119"/>
      <c r="QK101" s="119"/>
      <c r="QL101" s="119"/>
      <c r="QM101" s="119"/>
      <c r="QN101" s="119"/>
      <c r="QO101" s="119"/>
      <c r="QP101" s="119"/>
      <c r="QQ101" s="119"/>
      <c r="QR101" s="119"/>
      <c r="QS101" s="119"/>
      <c r="QT101" s="119"/>
      <c r="QU101" s="119"/>
      <c r="QV101" s="119"/>
      <c r="QW101" s="119"/>
      <c r="QX101" s="119"/>
      <c r="QY101" s="119"/>
      <c r="QZ101" s="119"/>
      <c r="RA101" s="119"/>
      <c r="RB101" s="119"/>
      <c r="RC101" s="119"/>
      <c r="RD101" s="119"/>
      <c r="RE101" s="119"/>
      <c r="RF101" s="119"/>
      <c r="RG101" s="119"/>
      <c r="RH101" s="119"/>
      <c r="RI101" s="119"/>
      <c r="RJ101" s="119"/>
      <c r="RK101" s="119"/>
      <c r="RL101" s="119"/>
      <c r="RM101" s="119"/>
      <c r="RN101" s="119"/>
      <c r="RO101" s="119"/>
      <c r="RP101" s="119"/>
      <c r="RQ101" s="119"/>
      <c r="RR101" s="119"/>
      <c r="RS101" s="119"/>
      <c r="RT101" s="119"/>
      <c r="RU101" s="119"/>
      <c r="RV101" s="119"/>
      <c r="RW101" s="119"/>
      <c r="RX101" s="119"/>
      <c r="RY101" s="119"/>
      <c r="RZ101" s="119"/>
      <c r="SA101" s="119"/>
      <c r="SB101" s="119"/>
      <c r="SC101" s="119"/>
      <c r="SD101" s="119"/>
      <c r="SE101" s="119"/>
      <c r="SF101" s="119"/>
      <c r="SG101" s="119"/>
      <c r="SH101" s="119"/>
      <c r="SI101" s="119"/>
      <c r="SJ101" s="119"/>
      <c r="SK101" s="119"/>
      <c r="SL101" s="119"/>
      <c r="SM101" s="119"/>
      <c r="SN101" s="119"/>
      <c r="SO101" s="119"/>
      <c r="SP101" s="119"/>
      <c r="SQ101" s="119"/>
      <c r="SR101" s="119"/>
      <c r="SS101" s="119"/>
      <c r="ST101" s="119"/>
      <c r="SU101" s="119"/>
      <c r="SV101" s="119"/>
      <c r="SW101" s="119"/>
      <c r="SX101" s="119"/>
      <c r="SY101" s="119"/>
      <c r="SZ101" s="119"/>
      <c r="TA101" s="119"/>
      <c r="TB101" s="119"/>
      <c r="TC101" s="119"/>
      <c r="TD101" s="119"/>
      <c r="TE101" s="119"/>
      <c r="TF101" s="119"/>
      <c r="TG101" s="119"/>
      <c r="TH101" s="119"/>
      <c r="TI101" s="119"/>
      <c r="TJ101" s="119"/>
      <c r="TK101" s="119"/>
      <c r="TL101" s="119"/>
      <c r="TM101" s="119"/>
      <c r="TN101" s="119"/>
      <c r="TO101" s="119"/>
      <c r="TP101" s="119"/>
      <c r="TQ101" s="119"/>
      <c r="TR101" s="119"/>
      <c r="TS101" s="119"/>
      <c r="TT101" s="119"/>
      <c r="TU101" s="119"/>
      <c r="TV101" s="119"/>
      <c r="TW101" s="119"/>
      <c r="TX101" s="119"/>
      <c r="TY101" s="119"/>
      <c r="TZ101" s="119"/>
      <c r="UA101" s="119"/>
      <c r="UB101" s="119"/>
      <c r="UC101" s="119"/>
      <c r="UD101" s="119"/>
      <c r="UE101" s="119"/>
      <c r="UF101" s="119"/>
      <c r="UG101" s="119"/>
      <c r="UH101" s="119"/>
      <c r="UI101" s="119"/>
      <c r="UJ101" s="119"/>
      <c r="UK101" s="119"/>
      <c r="UL101" s="119"/>
      <c r="UM101" s="119"/>
      <c r="UN101" s="119"/>
      <c r="UO101" s="119"/>
      <c r="UP101" s="119"/>
      <c r="UQ101" s="119"/>
      <c r="UR101" s="119"/>
      <c r="US101" s="119"/>
      <c r="UT101" s="119"/>
      <c r="UU101" s="119"/>
      <c r="UV101" s="119"/>
      <c r="UW101" s="119"/>
      <c r="UX101" s="119"/>
      <c r="UY101" s="119"/>
      <c r="UZ101" s="119"/>
      <c r="VA101" s="119"/>
      <c r="VB101" s="119"/>
      <c r="VC101" s="119"/>
      <c r="VD101" s="119"/>
      <c r="VE101" s="119"/>
      <c r="VF101" s="119"/>
      <c r="VG101" s="119"/>
      <c r="VH101" s="119"/>
      <c r="VI101" s="119"/>
      <c r="VJ101" s="119"/>
      <c r="VK101" s="119"/>
      <c r="VL101" s="119"/>
      <c r="VM101" s="119"/>
      <c r="VN101" s="119"/>
      <c r="VO101" s="119"/>
      <c r="VP101" s="119"/>
      <c r="VQ101" s="119"/>
      <c r="VR101" s="119"/>
      <c r="VS101" s="119"/>
      <c r="VT101" s="119"/>
      <c r="VU101" s="119"/>
      <c r="VV101" s="119"/>
      <c r="VW101" s="119"/>
      <c r="VX101" s="119"/>
      <c r="VY101" s="119"/>
      <c r="VZ101" s="119"/>
      <c r="WA101" s="119"/>
      <c r="WB101" s="119"/>
      <c r="WC101" s="119"/>
      <c r="WD101" s="119"/>
      <c r="WE101" s="119"/>
      <c r="WF101" s="119"/>
      <c r="WG101" s="119"/>
      <c r="WH101" s="119"/>
      <c r="WI101" s="119"/>
      <c r="WJ101" s="119"/>
      <c r="WK101" s="119"/>
      <c r="WL101" s="119"/>
      <c r="WM101" s="119"/>
      <c r="WN101" s="119"/>
      <c r="WO101" s="119"/>
      <c r="WP101" s="119"/>
      <c r="WQ101" s="119"/>
      <c r="WR101" s="119"/>
      <c r="WS101" s="119"/>
      <c r="WT101" s="119"/>
      <c r="WU101" s="119"/>
      <c r="WV101" s="119"/>
      <c r="WW101" s="119"/>
      <c r="WX101" s="119"/>
      <c r="WY101" s="119"/>
      <c r="WZ101" s="119"/>
      <c r="XA101" s="119"/>
      <c r="XB101" s="119"/>
      <c r="XC101" s="119"/>
      <c r="XD101" s="119"/>
      <c r="XE101" s="119"/>
      <c r="XF101" s="119"/>
      <c r="XG101" s="119"/>
      <c r="XH101" s="119"/>
      <c r="XI101" s="119"/>
      <c r="XJ101" s="119"/>
      <c r="XK101" s="119"/>
      <c r="XL101" s="119"/>
      <c r="XM101" s="119"/>
      <c r="XN101" s="119"/>
      <c r="XO101" s="119"/>
      <c r="XP101" s="119"/>
      <c r="XQ101" s="119"/>
      <c r="XR101" s="119"/>
      <c r="XS101" s="119"/>
      <c r="XT101" s="119"/>
      <c r="XU101" s="119"/>
      <c r="XV101" s="119"/>
      <c r="XW101" s="119"/>
      <c r="XX101" s="119"/>
      <c r="XY101" s="119"/>
      <c r="XZ101" s="119"/>
      <c r="YA101" s="119"/>
      <c r="YB101" s="119"/>
      <c r="YC101" s="119"/>
      <c r="YD101" s="119"/>
      <c r="YE101" s="119"/>
      <c r="YF101" s="119"/>
      <c r="YG101" s="119"/>
      <c r="YH101" s="119"/>
      <c r="YI101" s="119"/>
      <c r="YJ101" s="119"/>
      <c r="YK101" s="119"/>
      <c r="YL101" s="119"/>
      <c r="YM101" s="119"/>
      <c r="YN101" s="119"/>
      <c r="YO101" s="119"/>
      <c r="YP101" s="119"/>
      <c r="YQ101" s="119"/>
      <c r="YR101" s="119"/>
      <c r="YS101" s="119"/>
      <c r="YT101" s="119"/>
      <c r="YU101" s="119"/>
      <c r="YV101" s="119"/>
      <c r="YW101" s="119"/>
      <c r="YX101" s="119"/>
      <c r="YY101" s="119"/>
      <c r="YZ101" s="119"/>
      <c r="ZA101" s="119"/>
      <c r="ZB101" s="119"/>
      <c r="ZC101" s="119"/>
      <c r="ZD101" s="119"/>
      <c r="ZE101" s="119"/>
      <c r="ZF101" s="119"/>
      <c r="ZG101" s="119"/>
      <c r="ZH101" s="119"/>
      <c r="ZI101" s="119"/>
      <c r="ZJ101" s="119"/>
      <c r="ZK101" s="119"/>
      <c r="ZL101" s="119"/>
      <c r="ZM101" s="119"/>
      <c r="ZN101" s="119"/>
      <c r="ZO101" s="119"/>
      <c r="ZP101" s="119"/>
      <c r="ZQ101" s="119"/>
      <c r="ZR101" s="119"/>
      <c r="ZS101" s="119"/>
      <c r="ZT101" s="119"/>
      <c r="ZU101" s="119"/>
      <c r="ZV101" s="119"/>
      <c r="ZW101" s="119"/>
      <c r="ZX101" s="119"/>
      <c r="ZY101" s="119"/>
      <c r="ZZ101" s="119"/>
      <c r="AAA101" s="119"/>
      <c r="AAB101" s="119"/>
      <c r="AAC101" s="119"/>
      <c r="AAD101" s="119"/>
      <c r="AAE101" s="119"/>
      <c r="AAF101" s="119"/>
      <c r="AAG101" s="119"/>
      <c r="AAH101" s="119"/>
      <c r="AAI101" s="119"/>
      <c r="AAJ101" s="119"/>
      <c r="AAK101" s="119"/>
      <c r="AAL101" s="119"/>
      <c r="AAM101" s="119"/>
      <c r="AAN101" s="119"/>
      <c r="AAO101" s="119"/>
      <c r="AAP101" s="119"/>
      <c r="AAQ101" s="119"/>
      <c r="AAR101" s="119"/>
      <c r="AAS101" s="119"/>
      <c r="AAT101" s="119"/>
      <c r="AAU101" s="119"/>
      <c r="AAV101" s="119"/>
      <c r="AAW101" s="119"/>
      <c r="AAX101" s="119"/>
      <c r="AAY101" s="119"/>
      <c r="AAZ101" s="119"/>
      <c r="ABA101" s="119"/>
      <c r="ABB101" s="119"/>
      <c r="ABC101" s="119"/>
      <c r="ABD101" s="119"/>
      <c r="ABE101" s="119"/>
      <c r="ABF101" s="119"/>
      <c r="ABG101" s="119"/>
      <c r="ABH101" s="119"/>
      <c r="ABI101" s="119"/>
      <c r="ABJ101" s="119"/>
      <c r="ABK101" s="119"/>
      <c r="ABL101" s="119"/>
      <c r="ABM101" s="119"/>
      <c r="ABN101" s="119"/>
      <c r="ABO101" s="119"/>
      <c r="ABP101" s="119"/>
      <c r="ABQ101" s="119"/>
      <c r="ABR101" s="119"/>
      <c r="ABS101" s="119"/>
      <c r="ABT101" s="119"/>
      <c r="ABU101" s="119"/>
      <c r="ABV101" s="119"/>
      <c r="ABW101" s="119"/>
      <c r="ABX101" s="119"/>
      <c r="ABY101" s="119"/>
      <c r="ABZ101" s="119"/>
      <c r="ACA101" s="119"/>
      <c r="ACB101" s="119"/>
      <c r="ACC101" s="119"/>
      <c r="ACD101" s="119"/>
      <c r="ACE101" s="119"/>
      <c r="ACF101" s="119"/>
      <c r="ACG101" s="119"/>
      <c r="ACH101" s="119"/>
      <c r="ACI101" s="119"/>
      <c r="ACJ101" s="119"/>
      <c r="ACK101" s="119"/>
      <c r="ACL101" s="119"/>
      <c r="ACM101" s="119"/>
      <c r="ACN101" s="119"/>
      <c r="ACO101" s="119"/>
      <c r="ACP101" s="119"/>
      <c r="ACQ101" s="119"/>
      <c r="ACR101" s="119"/>
      <c r="ACS101" s="119"/>
      <c r="ACT101" s="119"/>
      <c r="ACU101" s="119"/>
      <c r="ACV101" s="119"/>
      <c r="ACW101" s="119"/>
      <c r="ACX101" s="119"/>
      <c r="ACY101" s="119"/>
      <c r="ACZ101" s="119"/>
      <c r="ADA101" s="119"/>
      <c r="ADB101" s="119"/>
      <c r="ADC101" s="119"/>
      <c r="ADD101" s="119"/>
      <c r="ADE101" s="119"/>
      <c r="ADF101" s="119"/>
      <c r="ADG101" s="119"/>
      <c r="ADH101" s="119"/>
      <c r="ADI101" s="119"/>
      <c r="ADJ101" s="119"/>
      <c r="ADK101" s="119"/>
      <c r="ADL101" s="119"/>
      <c r="ADM101" s="119"/>
      <c r="ADN101" s="119"/>
      <c r="ADO101" s="119"/>
      <c r="ADP101" s="119"/>
      <c r="ADQ101" s="119"/>
      <c r="ADR101" s="119"/>
      <c r="ADS101" s="119"/>
      <c r="ADT101" s="119"/>
      <c r="ADU101" s="119"/>
      <c r="ADV101" s="119"/>
      <c r="ADW101" s="119"/>
      <c r="ADX101" s="119"/>
      <c r="ADY101" s="119"/>
      <c r="ADZ101" s="119"/>
      <c r="AEA101" s="119"/>
      <c r="AEB101" s="119"/>
      <c r="AEC101" s="119"/>
      <c r="AED101" s="119"/>
      <c r="AEE101" s="119"/>
      <c r="AEF101" s="119"/>
      <c r="AEG101" s="119"/>
      <c r="AEH101" s="119"/>
      <c r="AEI101" s="119"/>
      <c r="AEJ101" s="119"/>
      <c r="AEK101" s="119"/>
      <c r="AEL101" s="119"/>
      <c r="AEM101" s="119"/>
      <c r="AEN101" s="119"/>
      <c r="AEO101" s="119"/>
      <c r="AEP101" s="119"/>
      <c r="AEQ101" s="119"/>
      <c r="AER101" s="119"/>
      <c r="AES101" s="119"/>
      <c r="AET101" s="119"/>
      <c r="AEU101" s="119"/>
      <c r="AEV101" s="119"/>
      <c r="AEW101" s="119"/>
      <c r="AEX101" s="119"/>
      <c r="AEY101" s="119"/>
      <c r="AEZ101" s="119"/>
      <c r="AFA101" s="119"/>
      <c r="AFB101" s="119"/>
      <c r="AFC101" s="119"/>
      <c r="AFD101" s="119"/>
      <c r="AFE101" s="119"/>
      <c r="AFF101" s="119"/>
      <c r="AFG101" s="119"/>
      <c r="AFH101" s="119"/>
      <c r="AFI101" s="119"/>
      <c r="AFJ101" s="119"/>
      <c r="AFK101" s="119"/>
      <c r="AFL101" s="119"/>
      <c r="AFM101" s="119"/>
      <c r="AFN101" s="119"/>
      <c r="AFO101" s="119"/>
      <c r="AFP101" s="119"/>
      <c r="AFQ101" s="119"/>
      <c r="AFR101" s="119"/>
      <c r="AFS101" s="119"/>
      <c r="AFT101" s="119"/>
      <c r="AFU101" s="119"/>
      <c r="AFV101" s="119"/>
      <c r="AFW101" s="119"/>
      <c r="AFX101" s="119"/>
      <c r="AFY101" s="119"/>
      <c r="AFZ101" s="119"/>
      <c r="AGA101" s="119"/>
      <c r="AGB101" s="119"/>
      <c r="AGC101" s="119"/>
      <c r="AGD101" s="119"/>
      <c r="AGE101" s="119"/>
      <c r="AGF101" s="119"/>
      <c r="AGG101" s="119"/>
      <c r="AGH101" s="119"/>
      <c r="AGI101" s="119"/>
      <c r="AGJ101" s="119"/>
      <c r="AGK101" s="119"/>
      <c r="AGL101" s="119"/>
      <c r="AGM101" s="119"/>
      <c r="AGN101" s="119"/>
      <c r="AGO101" s="119"/>
      <c r="AGP101" s="119"/>
      <c r="AGQ101" s="119"/>
      <c r="AGR101" s="119"/>
      <c r="AGS101" s="119"/>
      <c r="AGT101" s="119"/>
      <c r="AGU101" s="119"/>
      <c r="AGV101" s="119"/>
      <c r="AGW101" s="119"/>
      <c r="AGX101" s="119"/>
      <c r="AGY101" s="119"/>
      <c r="AGZ101" s="119"/>
      <c r="AHA101" s="119"/>
      <c r="AHB101" s="119"/>
      <c r="AHC101" s="119"/>
      <c r="AHD101" s="119"/>
      <c r="AHE101" s="119"/>
      <c r="AHF101" s="119"/>
      <c r="AHG101" s="119"/>
      <c r="AHH101" s="119"/>
      <c r="AHI101" s="119"/>
      <c r="AHJ101" s="119"/>
      <c r="AHK101" s="119"/>
      <c r="AHL101" s="119"/>
      <c r="AHM101" s="119"/>
      <c r="AHN101" s="119"/>
      <c r="AHO101" s="119"/>
      <c r="AHP101" s="119"/>
      <c r="AHQ101" s="119"/>
      <c r="AHR101" s="119"/>
      <c r="AHS101" s="119"/>
      <c r="AHT101" s="119"/>
      <c r="AHU101" s="119"/>
      <c r="AHV101" s="119"/>
      <c r="AHW101" s="119"/>
      <c r="AHX101" s="119"/>
      <c r="AHY101" s="119"/>
      <c r="AHZ101" s="119"/>
      <c r="AIA101" s="119"/>
      <c r="AIB101" s="119"/>
      <c r="AIC101" s="119"/>
      <c r="AID101" s="119"/>
      <c r="AIE101" s="119"/>
      <c r="AIF101" s="119"/>
      <c r="AIG101" s="119"/>
      <c r="AIH101" s="119"/>
      <c r="AII101" s="119"/>
      <c r="AIJ101" s="119"/>
      <c r="AIK101" s="119"/>
      <c r="AIL101" s="119"/>
      <c r="AIM101" s="119"/>
      <c r="AIN101" s="119"/>
      <c r="AIO101" s="119"/>
      <c r="AIP101" s="119"/>
      <c r="AIQ101" s="119"/>
      <c r="AIR101" s="119"/>
      <c r="AIS101" s="119"/>
      <c r="AIT101" s="119"/>
      <c r="AIU101" s="119"/>
      <c r="AIV101" s="119"/>
      <c r="AIW101" s="119"/>
      <c r="AIX101" s="119"/>
      <c r="AIY101" s="119"/>
      <c r="AIZ101" s="119"/>
      <c r="AJA101" s="119"/>
      <c r="AJB101" s="119"/>
      <c r="AJC101" s="119"/>
      <c r="AJD101" s="119"/>
      <c r="AJE101" s="119"/>
      <c r="AJF101" s="119"/>
      <c r="AJG101" s="119"/>
      <c r="AJH101" s="119"/>
      <c r="AJI101" s="119"/>
      <c r="AJJ101" s="119"/>
      <c r="AJK101" s="119"/>
      <c r="AJL101" s="119"/>
      <c r="AJM101" s="119"/>
      <c r="AJN101" s="119"/>
      <c r="AJO101" s="119"/>
      <c r="AJP101" s="119"/>
      <c r="AJQ101" s="119"/>
      <c r="AJR101" s="119"/>
      <c r="AJS101" s="119"/>
      <c r="AJT101" s="119"/>
      <c r="AJU101" s="119"/>
      <c r="AJV101" s="119"/>
      <c r="AJW101" s="119"/>
      <c r="AJX101" s="119"/>
      <c r="AJY101" s="119"/>
      <c r="AJZ101" s="119"/>
      <c r="AKA101" s="119"/>
      <c r="AKB101" s="119"/>
      <c r="AKC101" s="119"/>
      <c r="AKD101" s="119"/>
      <c r="AKE101" s="119"/>
      <c r="AKF101" s="119"/>
      <c r="AKG101" s="119"/>
      <c r="AKH101" s="119"/>
      <c r="AKI101" s="119"/>
      <c r="AKJ101" s="119"/>
      <c r="AKK101" s="119"/>
      <c r="AKL101" s="119"/>
      <c r="AKM101" s="119"/>
      <c r="AKN101" s="119"/>
      <c r="AKO101" s="119"/>
      <c r="AKP101" s="119"/>
      <c r="AKQ101" s="119"/>
      <c r="AKR101" s="119"/>
      <c r="AKS101" s="119"/>
      <c r="AKT101" s="119"/>
      <c r="AKU101" s="119"/>
      <c r="AKV101" s="119"/>
      <c r="AKW101" s="119"/>
      <c r="AKX101" s="119"/>
      <c r="AKY101" s="119"/>
      <c r="AKZ101" s="119"/>
      <c r="ALA101" s="119"/>
      <c r="ALB101" s="119"/>
      <c r="ALC101" s="119"/>
      <c r="ALD101" s="119"/>
      <c r="ALE101" s="119"/>
      <c r="ALF101" s="119"/>
      <c r="ALG101" s="119"/>
      <c r="ALH101" s="119"/>
      <c r="ALI101" s="119"/>
      <c r="ALJ101" s="119"/>
      <c r="ALK101" s="119"/>
      <c r="ALL101" s="119"/>
      <c r="ALM101" s="119"/>
      <c r="ALN101" s="119"/>
      <c r="ALO101" s="119"/>
      <c r="ALP101" s="119"/>
      <c r="ALQ101" s="119"/>
      <c r="ALR101" s="119"/>
      <c r="ALS101" s="119"/>
      <c r="ALT101" s="119"/>
      <c r="ALU101" s="119"/>
      <c r="ALV101" s="119"/>
      <c r="ALW101" s="119"/>
      <c r="ALX101" s="119"/>
      <c r="ALY101" s="119"/>
      <c r="ALZ101" s="119"/>
      <c r="AMA101" s="119"/>
      <c r="AMB101" s="119"/>
      <c r="AMC101" s="119"/>
      <c r="AMD101" s="119"/>
      <c r="AME101" s="119"/>
      <c r="AMF101" s="119"/>
      <c r="AMG101" s="119"/>
      <c r="AMH101" s="119"/>
      <c r="AMI101" s="119"/>
      <c r="AMJ101" s="119"/>
      <c r="AMK101" s="119"/>
      <c r="AML101" s="119"/>
      <c r="AMM101" s="119"/>
      <c r="AMN101" s="119"/>
      <c r="AMO101" s="119"/>
      <c r="AMP101" s="119"/>
      <c r="AMQ101" s="119"/>
      <c r="AMR101" s="119"/>
      <c r="AMS101" s="119"/>
      <c r="AMT101" s="119"/>
      <c r="AMU101" s="119"/>
      <c r="AMV101" s="119"/>
      <c r="AMW101" s="119"/>
      <c r="AMX101" s="119"/>
      <c r="AMY101" s="119"/>
      <c r="AMZ101" s="119"/>
      <c r="ANA101" s="119"/>
      <c r="ANB101" s="119"/>
      <c r="ANC101" s="119"/>
      <c r="AND101" s="119"/>
      <c r="ANE101" s="119"/>
      <c r="ANF101" s="119"/>
      <c r="ANG101" s="119"/>
      <c r="ANH101" s="119"/>
      <c r="ANI101" s="119"/>
      <c r="ANJ101" s="119"/>
      <c r="ANK101" s="119"/>
      <c r="ANL101" s="119"/>
      <c r="ANM101" s="119"/>
      <c r="ANN101" s="119"/>
      <c r="ANO101" s="119"/>
      <c r="ANP101" s="119"/>
      <c r="ANQ101" s="119"/>
      <c r="ANR101" s="119"/>
      <c r="ANS101" s="119"/>
      <c r="ANT101" s="119"/>
      <c r="ANU101" s="119"/>
      <c r="ANV101" s="119"/>
      <c r="ANW101" s="119"/>
      <c r="ANX101" s="119"/>
      <c r="ANY101" s="119"/>
      <c r="ANZ101" s="119"/>
      <c r="AOA101" s="119"/>
      <c r="AOB101" s="119"/>
      <c r="AOC101" s="119"/>
      <c r="AOD101" s="119"/>
      <c r="AOE101" s="119"/>
      <c r="AOF101" s="119"/>
      <c r="AOG101" s="119"/>
      <c r="AOH101" s="119"/>
      <c r="AOI101" s="119"/>
      <c r="AOJ101" s="119"/>
      <c r="AOK101" s="119"/>
      <c r="AOL101" s="119"/>
      <c r="AOM101" s="119"/>
      <c r="AON101" s="119"/>
      <c r="AOO101" s="119"/>
      <c r="AOP101" s="119"/>
      <c r="AOQ101" s="119"/>
      <c r="AOR101" s="119"/>
      <c r="AOS101" s="119"/>
      <c r="AOT101" s="119"/>
      <c r="AOU101" s="119"/>
      <c r="AOV101" s="119"/>
      <c r="AOW101" s="119"/>
      <c r="AOX101" s="119"/>
      <c r="AOY101" s="119"/>
      <c r="AOZ101" s="119"/>
      <c r="APA101" s="119"/>
      <c r="APB101" s="119"/>
      <c r="APC101" s="119"/>
      <c r="APD101" s="119"/>
      <c r="APE101" s="119"/>
      <c r="APF101" s="119"/>
      <c r="APG101" s="119"/>
      <c r="APH101" s="119"/>
      <c r="API101" s="119"/>
      <c r="APJ101" s="119"/>
      <c r="APK101" s="119"/>
      <c r="APL101" s="119"/>
      <c r="APM101" s="119"/>
      <c r="APN101" s="119"/>
      <c r="APO101" s="119"/>
      <c r="APP101" s="119"/>
      <c r="APQ101" s="119"/>
      <c r="APR101" s="119"/>
      <c r="APS101" s="119"/>
      <c r="APT101" s="119"/>
      <c r="APU101" s="119"/>
      <c r="APV101" s="119"/>
      <c r="APW101" s="119"/>
      <c r="APX101" s="119"/>
      <c r="APY101" s="119"/>
      <c r="APZ101" s="119"/>
      <c r="AQA101" s="119"/>
      <c r="AQB101" s="119"/>
      <c r="AQC101" s="119"/>
      <c r="AQD101" s="119"/>
      <c r="AQE101" s="119"/>
      <c r="AQF101" s="119"/>
      <c r="AQG101" s="119"/>
      <c r="AQH101" s="119"/>
      <c r="AQI101" s="119"/>
      <c r="AQJ101" s="119"/>
      <c r="AQK101" s="119"/>
      <c r="AQL101" s="119"/>
      <c r="AQM101" s="119"/>
      <c r="AQN101" s="119"/>
      <c r="AQO101" s="119"/>
      <c r="AQP101" s="119"/>
      <c r="AQQ101" s="119"/>
      <c r="AQR101" s="119"/>
      <c r="AQS101" s="119"/>
      <c r="AQT101" s="119"/>
      <c r="AQU101" s="119"/>
      <c r="AQV101" s="119"/>
      <c r="AQW101" s="119"/>
      <c r="AQX101" s="119"/>
      <c r="AQY101" s="119"/>
      <c r="AQZ101" s="119"/>
      <c r="ARA101" s="119"/>
      <c r="ARB101" s="119"/>
      <c r="ARC101" s="119"/>
      <c r="ARD101" s="119"/>
      <c r="ARE101" s="119"/>
      <c r="ARF101" s="119"/>
      <c r="ARG101" s="119"/>
      <c r="ARH101" s="119"/>
      <c r="ARI101" s="119"/>
      <c r="ARJ101" s="119"/>
      <c r="ARK101" s="119"/>
      <c r="ARL101" s="119"/>
      <c r="ARM101" s="119"/>
      <c r="ARN101" s="119"/>
      <c r="ARO101" s="119"/>
      <c r="ARP101" s="119"/>
      <c r="ARQ101" s="119"/>
      <c r="ARR101" s="119"/>
      <c r="ARS101" s="119"/>
      <c r="ART101" s="119"/>
      <c r="ARU101" s="119"/>
      <c r="ARV101" s="119"/>
      <c r="ARW101" s="119"/>
      <c r="ARX101" s="119"/>
      <c r="ARY101" s="119"/>
      <c r="ARZ101" s="119"/>
      <c r="ASA101" s="119"/>
      <c r="ASB101" s="119"/>
      <c r="ASC101" s="119"/>
      <c r="ASD101" s="119"/>
      <c r="ASE101" s="119"/>
      <c r="ASF101" s="119"/>
      <c r="ASG101" s="119"/>
      <c r="ASH101" s="119"/>
      <c r="ASI101" s="119"/>
      <c r="ASJ101" s="119"/>
      <c r="ASK101" s="119"/>
      <c r="ASL101" s="119"/>
      <c r="ASM101" s="119"/>
      <c r="ASN101" s="119"/>
      <c r="ASO101" s="119"/>
      <c r="ASP101" s="119"/>
      <c r="ASQ101" s="119"/>
      <c r="ASR101" s="119"/>
      <c r="ASS101" s="119"/>
      <c r="AST101" s="119"/>
      <c r="ASU101" s="119"/>
      <c r="ASV101" s="119"/>
      <c r="ASW101" s="119"/>
      <c r="ASX101" s="119"/>
      <c r="ASY101" s="119"/>
      <c r="ASZ101" s="119"/>
      <c r="ATA101" s="119"/>
      <c r="ATB101" s="119"/>
      <c r="ATC101" s="119"/>
      <c r="ATD101" s="119"/>
      <c r="ATE101" s="119"/>
      <c r="ATF101" s="119"/>
      <c r="ATG101" s="119"/>
      <c r="ATH101" s="119"/>
      <c r="ATI101" s="119"/>
      <c r="ATJ101" s="119"/>
      <c r="ATK101" s="119"/>
      <c r="ATL101" s="119"/>
      <c r="ATM101" s="119"/>
      <c r="ATN101" s="119"/>
      <c r="ATO101" s="119"/>
      <c r="ATP101" s="119"/>
      <c r="ATQ101" s="119"/>
      <c r="ATR101" s="119"/>
      <c r="ATS101" s="119"/>
      <c r="ATT101" s="119"/>
      <c r="ATU101" s="119"/>
      <c r="ATV101" s="119"/>
      <c r="ATW101" s="119"/>
      <c r="ATX101" s="119"/>
      <c r="ATY101" s="119"/>
      <c r="ATZ101" s="119"/>
      <c r="AUA101" s="119"/>
      <c r="AUB101" s="119"/>
      <c r="AUC101" s="119"/>
      <c r="AUD101" s="119"/>
      <c r="AUE101" s="119"/>
      <c r="AUF101" s="119"/>
      <c r="AUG101" s="119"/>
      <c r="AUH101" s="119"/>
      <c r="AUI101" s="119"/>
      <c r="AUJ101" s="119"/>
      <c r="AUK101" s="119"/>
      <c r="AUL101" s="119"/>
      <c r="AUM101" s="119"/>
      <c r="AUN101" s="119"/>
      <c r="AUO101" s="119"/>
      <c r="AUP101" s="119"/>
      <c r="AUQ101" s="119"/>
      <c r="AUR101" s="119"/>
      <c r="AUS101" s="119"/>
      <c r="AUT101" s="119"/>
      <c r="AUU101" s="119"/>
      <c r="AUV101" s="119"/>
      <c r="AUW101" s="119"/>
      <c r="AUX101" s="119"/>
      <c r="AUY101" s="119"/>
      <c r="AUZ101" s="119"/>
      <c r="AVA101" s="119"/>
      <c r="AVB101" s="119"/>
      <c r="AVC101" s="119"/>
      <c r="AVD101" s="119"/>
      <c r="AVE101" s="119"/>
      <c r="AVF101" s="119"/>
      <c r="AVG101" s="119"/>
      <c r="AVH101" s="119"/>
      <c r="AVI101" s="119"/>
      <c r="AVJ101" s="119"/>
      <c r="AVK101" s="119"/>
      <c r="AVL101" s="119"/>
      <c r="AVM101" s="119"/>
      <c r="AVN101" s="119"/>
      <c r="AVO101" s="119"/>
      <c r="AVP101" s="119"/>
      <c r="AVQ101" s="119"/>
      <c r="AVR101" s="119"/>
      <c r="AVS101" s="119"/>
      <c r="AVT101" s="119"/>
      <c r="AVU101" s="119"/>
      <c r="AVV101" s="119"/>
      <c r="AVW101" s="119"/>
      <c r="AVX101" s="119"/>
      <c r="AVY101" s="119"/>
      <c r="AVZ101" s="119"/>
      <c r="AWA101" s="119"/>
      <c r="AWB101" s="119"/>
      <c r="AWC101" s="119"/>
      <c r="AWD101" s="119"/>
      <c r="AWE101" s="119"/>
      <c r="AWF101" s="119"/>
      <c r="AWG101" s="119"/>
      <c r="AWH101" s="119"/>
      <c r="AWI101" s="119"/>
      <c r="AWJ101" s="119"/>
      <c r="AWK101" s="119"/>
      <c r="AWL101" s="119"/>
      <c r="AWM101" s="119"/>
      <c r="AWN101" s="119"/>
      <c r="AWO101" s="119"/>
      <c r="AWP101" s="119"/>
      <c r="AWQ101" s="119"/>
      <c r="AWR101" s="119"/>
      <c r="AWS101" s="119"/>
      <c r="AWT101" s="119"/>
      <c r="AWU101" s="119"/>
      <c r="AWV101" s="119"/>
      <c r="AWW101" s="119"/>
      <c r="AWX101" s="119"/>
      <c r="AWY101" s="119"/>
      <c r="AWZ101" s="119"/>
      <c r="AXA101" s="119"/>
      <c r="AXB101" s="119"/>
      <c r="AXC101" s="119"/>
      <c r="AXD101" s="119"/>
      <c r="AXE101" s="119"/>
      <c r="AXF101" s="119"/>
      <c r="AXG101" s="119"/>
      <c r="AXH101" s="119"/>
      <c r="AXI101" s="119"/>
      <c r="AXJ101" s="119"/>
      <c r="AXK101" s="119"/>
      <c r="AXL101" s="119"/>
      <c r="AXM101" s="119"/>
      <c r="AXN101" s="119"/>
      <c r="AXO101" s="119"/>
      <c r="AXP101" s="119"/>
      <c r="AXQ101" s="119"/>
      <c r="AXR101" s="119"/>
      <c r="AXS101" s="119"/>
      <c r="AXT101" s="119"/>
      <c r="AXU101" s="119"/>
      <c r="AXV101" s="119"/>
      <c r="AXW101" s="119"/>
      <c r="AXX101" s="119"/>
      <c r="AXY101" s="119"/>
      <c r="AXZ101" s="119"/>
      <c r="AYA101" s="119"/>
      <c r="AYB101" s="119"/>
      <c r="AYC101" s="119"/>
      <c r="AYD101" s="119"/>
      <c r="AYE101" s="119"/>
      <c r="AYF101" s="119"/>
      <c r="AYG101" s="119"/>
      <c r="AYH101" s="119"/>
      <c r="AYI101" s="119"/>
      <c r="AYJ101" s="119"/>
      <c r="AYK101" s="119"/>
      <c r="AYL101" s="119"/>
      <c r="AYM101" s="119"/>
      <c r="AYN101" s="119"/>
      <c r="AYO101" s="119"/>
      <c r="AYP101" s="119"/>
      <c r="AYQ101" s="119"/>
      <c r="AYR101" s="119"/>
      <c r="AYS101" s="119"/>
      <c r="AYT101" s="119"/>
      <c r="AYU101" s="119"/>
      <c r="AYV101" s="119"/>
      <c r="AYW101" s="119"/>
      <c r="AYX101" s="119"/>
      <c r="AYY101" s="119"/>
      <c r="AYZ101" s="119"/>
      <c r="AZA101" s="119"/>
      <c r="AZB101" s="119"/>
      <c r="AZC101" s="119"/>
      <c r="AZD101" s="119"/>
      <c r="AZE101" s="119"/>
      <c r="AZF101" s="119"/>
      <c r="AZG101" s="119"/>
      <c r="AZH101" s="119"/>
      <c r="AZI101" s="119"/>
      <c r="AZJ101" s="119"/>
      <c r="AZK101" s="119"/>
      <c r="AZL101" s="119"/>
      <c r="AZM101" s="119"/>
      <c r="AZN101" s="119"/>
      <c r="AZO101" s="119"/>
      <c r="AZP101" s="119"/>
      <c r="AZQ101" s="119"/>
      <c r="AZR101" s="119"/>
      <c r="AZS101" s="119"/>
      <c r="AZT101" s="119"/>
      <c r="AZU101" s="119"/>
      <c r="AZV101" s="119"/>
      <c r="AZW101" s="119"/>
      <c r="AZX101" s="119"/>
      <c r="AZY101" s="119"/>
      <c r="AZZ101" s="119"/>
      <c r="BAA101" s="119"/>
      <c r="BAB101" s="119"/>
      <c r="BAC101" s="119"/>
      <c r="BAD101" s="119"/>
      <c r="BAE101" s="119"/>
      <c r="BAF101" s="119"/>
      <c r="BAG101" s="119"/>
      <c r="BAH101" s="119"/>
      <c r="BAI101" s="119"/>
      <c r="BAJ101" s="119"/>
      <c r="BAK101" s="119"/>
      <c r="BAL101" s="119"/>
      <c r="BAM101" s="119"/>
      <c r="BAN101" s="119"/>
      <c r="BAO101" s="119"/>
      <c r="BAP101" s="119"/>
      <c r="BAQ101" s="119"/>
      <c r="BAR101" s="119"/>
      <c r="BAS101" s="119"/>
      <c r="BAT101" s="119"/>
      <c r="BAU101" s="119"/>
      <c r="BAV101" s="119"/>
      <c r="BAW101" s="119"/>
      <c r="BAX101" s="119"/>
      <c r="BAY101" s="119"/>
      <c r="BAZ101" s="119"/>
      <c r="BBA101" s="119"/>
      <c r="BBB101" s="119"/>
      <c r="BBC101" s="119"/>
      <c r="BBD101" s="119"/>
      <c r="BBE101" s="119"/>
      <c r="BBF101" s="119"/>
      <c r="BBG101" s="119"/>
      <c r="BBH101" s="119"/>
      <c r="BBI101" s="119"/>
      <c r="BBJ101" s="119"/>
      <c r="BBK101" s="119"/>
      <c r="BBL101" s="119"/>
      <c r="BBM101" s="119"/>
      <c r="BBN101" s="119"/>
      <c r="BBO101" s="119"/>
      <c r="BBP101" s="119"/>
      <c r="BBQ101" s="119"/>
      <c r="BBR101" s="119"/>
      <c r="BBS101" s="119"/>
      <c r="BBT101" s="119"/>
      <c r="BBU101" s="119"/>
      <c r="BBV101" s="119"/>
      <c r="BBW101" s="119"/>
      <c r="BBX101" s="119"/>
      <c r="BBY101" s="119"/>
      <c r="BBZ101" s="119"/>
      <c r="BCA101" s="119"/>
      <c r="BCB101" s="119"/>
      <c r="BCC101" s="119"/>
      <c r="BCD101" s="119"/>
      <c r="BCE101" s="119"/>
      <c r="BCF101" s="119"/>
      <c r="BCG101" s="119"/>
      <c r="BCH101" s="119"/>
      <c r="BCI101" s="119"/>
      <c r="BCJ101" s="119"/>
      <c r="BCK101" s="119"/>
      <c r="BCL101" s="119"/>
      <c r="BCM101" s="119"/>
      <c r="BCN101" s="119"/>
      <c r="BCO101" s="119"/>
      <c r="BCP101" s="119"/>
      <c r="BCQ101" s="119"/>
      <c r="BCR101" s="119"/>
      <c r="BCS101" s="119"/>
      <c r="BCT101" s="119"/>
      <c r="BCU101" s="119"/>
      <c r="BCV101" s="119"/>
      <c r="BCW101" s="119"/>
      <c r="BCX101" s="119"/>
      <c r="BCY101" s="119"/>
      <c r="BCZ101" s="119"/>
      <c r="BDA101" s="119"/>
      <c r="BDB101" s="119"/>
      <c r="BDC101" s="119"/>
      <c r="BDD101" s="119"/>
      <c r="BDE101" s="119"/>
      <c r="BDF101" s="119"/>
      <c r="BDG101" s="119"/>
      <c r="BDH101" s="119"/>
      <c r="BDI101" s="119"/>
      <c r="BDJ101" s="119"/>
      <c r="BDK101" s="119"/>
      <c r="BDL101" s="119"/>
      <c r="BDM101" s="119"/>
      <c r="BDN101" s="119"/>
      <c r="BDO101" s="119"/>
      <c r="BDP101" s="119"/>
      <c r="BDQ101" s="119"/>
      <c r="BDR101" s="119"/>
      <c r="BDS101" s="119"/>
      <c r="BDT101" s="119"/>
      <c r="BDU101" s="119"/>
      <c r="BDV101" s="119"/>
      <c r="BDW101" s="119"/>
      <c r="BDX101" s="119"/>
      <c r="BDY101" s="119"/>
      <c r="BDZ101" s="119"/>
      <c r="BEA101" s="119"/>
      <c r="BEB101" s="119"/>
      <c r="BEC101" s="119"/>
      <c r="BED101" s="119"/>
      <c r="BEE101" s="119"/>
      <c r="BEF101" s="119"/>
      <c r="BEG101" s="119"/>
      <c r="BEH101" s="119"/>
      <c r="BEI101" s="119"/>
      <c r="BEJ101" s="119"/>
      <c r="BEK101" s="119"/>
      <c r="BEL101" s="119"/>
      <c r="BEM101" s="119"/>
      <c r="BEN101" s="119"/>
      <c r="BEO101" s="119"/>
      <c r="BEP101" s="119"/>
      <c r="BEQ101" s="119"/>
      <c r="BER101" s="119"/>
      <c r="BES101" s="119"/>
      <c r="BET101" s="119"/>
      <c r="BEU101" s="119"/>
      <c r="BEV101" s="119"/>
      <c r="BEW101" s="119"/>
      <c r="BEX101" s="119"/>
      <c r="BEY101" s="119"/>
      <c r="BEZ101" s="119"/>
      <c r="BFA101" s="119"/>
      <c r="BFB101" s="119"/>
      <c r="BFC101" s="119"/>
      <c r="BFD101" s="119"/>
      <c r="BFE101" s="119"/>
      <c r="BFF101" s="119"/>
      <c r="BFG101" s="119"/>
      <c r="BFH101" s="119"/>
      <c r="BFI101" s="119"/>
      <c r="BFJ101" s="119"/>
      <c r="BFK101" s="119"/>
      <c r="BFL101" s="119"/>
      <c r="BFM101" s="119"/>
      <c r="BFN101" s="119"/>
      <c r="BFO101" s="119"/>
      <c r="BFP101" s="119"/>
      <c r="BFQ101" s="119"/>
      <c r="BFR101" s="119"/>
      <c r="BFS101" s="119"/>
      <c r="BFT101" s="119"/>
      <c r="BFU101" s="119"/>
      <c r="BFV101" s="119"/>
      <c r="BFW101" s="119"/>
      <c r="BFX101" s="119"/>
      <c r="BFY101" s="119"/>
      <c r="BFZ101" s="119"/>
      <c r="BGA101" s="119"/>
      <c r="BGB101" s="119"/>
      <c r="BGC101" s="119"/>
      <c r="BGD101" s="119"/>
      <c r="BGE101" s="119"/>
      <c r="BGF101" s="119"/>
      <c r="BGG101" s="119"/>
      <c r="BGH101" s="119"/>
      <c r="BGI101" s="119"/>
      <c r="BGJ101" s="119"/>
      <c r="BGK101" s="119"/>
      <c r="BGL101" s="119"/>
      <c r="BGM101" s="119"/>
      <c r="BGN101" s="119"/>
      <c r="BGO101" s="119"/>
      <c r="BGP101" s="119"/>
      <c r="BGQ101" s="119"/>
      <c r="BGR101" s="119"/>
      <c r="BGS101" s="119"/>
      <c r="BGT101" s="119"/>
      <c r="BGU101" s="119"/>
      <c r="BGV101" s="119"/>
      <c r="BGW101" s="119"/>
      <c r="BGX101" s="119"/>
      <c r="BGY101" s="119"/>
      <c r="BGZ101" s="119"/>
      <c r="BHA101" s="119"/>
      <c r="BHB101" s="119"/>
      <c r="BHC101" s="119"/>
      <c r="BHD101" s="119"/>
      <c r="BHE101" s="119"/>
      <c r="BHF101" s="119"/>
      <c r="BHG101" s="119"/>
      <c r="BHH101" s="119"/>
      <c r="BHI101" s="119"/>
      <c r="BHJ101" s="119"/>
      <c r="BHK101" s="119"/>
      <c r="BHL101" s="119"/>
      <c r="BHM101" s="119"/>
      <c r="BHN101" s="119"/>
      <c r="BHO101" s="119"/>
      <c r="BHP101" s="119"/>
      <c r="BHQ101" s="119"/>
      <c r="BHR101" s="119"/>
      <c r="BHS101" s="119"/>
      <c r="BHT101" s="119"/>
      <c r="BHU101" s="119"/>
      <c r="BHV101" s="119"/>
      <c r="BHW101" s="119"/>
      <c r="BHX101" s="119"/>
      <c r="BHY101" s="119"/>
      <c r="BHZ101" s="119"/>
      <c r="BIA101" s="119"/>
      <c r="BIB101" s="119"/>
      <c r="BIC101" s="119"/>
      <c r="BID101" s="119"/>
      <c r="BIE101" s="119"/>
      <c r="BIF101" s="119"/>
      <c r="BIG101" s="119"/>
      <c r="BIH101" s="119"/>
      <c r="BII101" s="119"/>
      <c r="BIJ101" s="119"/>
      <c r="BIK101" s="119"/>
      <c r="BIL101" s="119"/>
      <c r="BIM101" s="119"/>
      <c r="BIN101" s="119"/>
      <c r="BIO101" s="119"/>
      <c r="BIP101" s="119"/>
      <c r="BIQ101" s="119"/>
      <c r="BIR101" s="119"/>
      <c r="BIS101" s="119"/>
      <c r="BIT101" s="119"/>
      <c r="BIU101" s="119"/>
      <c r="BIV101" s="119"/>
      <c r="BIW101" s="119"/>
      <c r="BIX101" s="119"/>
      <c r="BIY101" s="119"/>
      <c r="BIZ101" s="119"/>
      <c r="BJA101" s="119"/>
      <c r="BJB101" s="119"/>
      <c r="BJC101" s="119"/>
      <c r="BJD101" s="119"/>
      <c r="BJE101" s="119"/>
      <c r="BJF101" s="119"/>
      <c r="BJG101" s="119"/>
      <c r="BJH101" s="119"/>
      <c r="BJI101" s="119"/>
      <c r="BJJ101" s="119"/>
      <c r="BJK101" s="119"/>
      <c r="BJL101" s="119"/>
      <c r="BJM101" s="119"/>
      <c r="BJN101" s="119"/>
      <c r="BJO101" s="119"/>
      <c r="BJP101" s="119"/>
      <c r="BJQ101" s="119"/>
      <c r="BJR101" s="119"/>
      <c r="BJS101" s="119"/>
      <c r="BJT101" s="119"/>
      <c r="BJU101" s="119"/>
      <c r="BJV101" s="119"/>
      <c r="BJW101" s="119"/>
      <c r="BJX101" s="119"/>
      <c r="BJY101" s="119"/>
      <c r="BJZ101" s="119"/>
      <c r="BKA101" s="119"/>
      <c r="BKB101" s="119"/>
      <c r="BKC101" s="119"/>
      <c r="BKD101" s="119"/>
      <c r="BKE101" s="119"/>
      <c r="BKF101" s="119"/>
      <c r="BKG101" s="119"/>
      <c r="BKH101" s="119"/>
      <c r="BKI101" s="119"/>
      <c r="BKJ101" s="119"/>
      <c r="BKK101" s="119"/>
      <c r="BKL101" s="119"/>
      <c r="BKM101" s="119"/>
      <c r="BKN101" s="119"/>
      <c r="BKO101" s="119"/>
      <c r="BKP101" s="119"/>
      <c r="BKQ101" s="119"/>
      <c r="BKR101" s="119"/>
      <c r="BKS101" s="119"/>
      <c r="BKT101" s="119"/>
      <c r="BKU101" s="119"/>
      <c r="BKV101" s="119"/>
      <c r="BKW101" s="119"/>
      <c r="BKX101" s="119"/>
      <c r="BKY101" s="119"/>
      <c r="BKZ101" s="119"/>
      <c r="BLA101" s="119"/>
      <c r="BLB101" s="119"/>
      <c r="BLC101" s="119"/>
      <c r="BLD101" s="119"/>
      <c r="BLE101" s="119"/>
      <c r="BLF101" s="119"/>
      <c r="BLG101" s="119"/>
      <c r="BLH101" s="119"/>
      <c r="BLI101" s="119"/>
      <c r="BLJ101" s="119"/>
      <c r="BLK101" s="119"/>
      <c r="BLL101" s="119"/>
      <c r="BLM101" s="119"/>
      <c r="BLN101" s="119"/>
      <c r="BLO101" s="119"/>
      <c r="BLP101" s="119"/>
      <c r="BLQ101" s="119"/>
      <c r="BLR101" s="119"/>
      <c r="BLS101" s="119"/>
      <c r="BLT101" s="119"/>
      <c r="BLU101" s="119"/>
      <c r="BLV101" s="119"/>
      <c r="BLW101" s="119"/>
      <c r="BLX101" s="119"/>
      <c r="BLY101" s="119"/>
      <c r="BLZ101" s="119"/>
      <c r="BMA101" s="119"/>
      <c r="BMB101" s="119"/>
      <c r="BMC101" s="119"/>
      <c r="BMD101" s="119"/>
      <c r="BME101" s="119"/>
      <c r="BMF101" s="119"/>
      <c r="BMG101" s="119"/>
      <c r="BMH101" s="119"/>
      <c r="BMI101" s="119"/>
      <c r="BMJ101" s="119"/>
      <c r="BMK101" s="119"/>
      <c r="BML101" s="119"/>
      <c r="BMM101" s="119"/>
      <c r="BMN101" s="119"/>
      <c r="BMO101" s="119"/>
      <c r="BMP101" s="119"/>
      <c r="BMQ101" s="119"/>
      <c r="BMR101" s="119"/>
      <c r="BMS101" s="119"/>
      <c r="BMT101" s="119"/>
      <c r="BMU101" s="119"/>
      <c r="BMV101" s="119"/>
    </row>
    <row r="102" spans="1:1712" x14ac:dyDescent="0.2">
      <c r="A102" s="155"/>
      <c r="B102" s="119"/>
      <c r="C102" s="119"/>
      <c r="D102" s="119"/>
      <c r="E102" s="121"/>
      <c r="F102" s="119"/>
      <c r="G102" s="119"/>
      <c r="H102" s="119"/>
      <c r="I102" s="121"/>
      <c r="J102" s="119"/>
      <c r="K102" s="119"/>
      <c r="L102" s="119"/>
      <c r="M102" s="119"/>
      <c r="N102" s="119"/>
    </row>
    <row r="103" spans="1:1712" x14ac:dyDescent="0.2">
      <c r="A103" s="155"/>
      <c r="B103" s="119"/>
      <c r="C103" s="119"/>
      <c r="D103" s="119"/>
      <c r="E103" s="121"/>
      <c r="F103" s="119"/>
      <c r="G103" s="119"/>
      <c r="H103" s="119"/>
      <c r="I103" s="121"/>
      <c r="J103" s="119"/>
      <c r="K103" s="119"/>
      <c r="L103" s="119"/>
      <c r="M103" s="119"/>
      <c r="N103" s="119"/>
    </row>
    <row r="104" spans="1:1712" x14ac:dyDescent="0.2">
      <c r="C104" s="27" t="s">
        <v>584</v>
      </c>
      <c r="G104" s="27" t="s">
        <v>584</v>
      </c>
    </row>
    <row r="105" spans="1:1712" x14ac:dyDescent="0.2">
      <c r="C105" s="27" t="s">
        <v>584</v>
      </c>
      <c r="D105" s="27" t="s">
        <v>584</v>
      </c>
      <c r="E105" s="27" t="s">
        <v>584</v>
      </c>
      <c r="F105" s="27" t="s">
        <v>584</v>
      </c>
      <c r="G105" s="27" t="s">
        <v>584</v>
      </c>
      <c r="H105" s="27" t="s">
        <v>584</v>
      </c>
      <c r="I105" s="27" t="s">
        <v>584</v>
      </c>
    </row>
    <row r="106" spans="1:1712" x14ac:dyDescent="0.2">
      <c r="G106" s="27" t="s">
        <v>584</v>
      </c>
    </row>
    <row r="107" spans="1:1712" x14ac:dyDescent="0.2">
      <c r="C107" s="27" t="s">
        <v>584</v>
      </c>
    </row>
  </sheetData>
  <mergeCells count="31">
    <mergeCell ref="B2:C2"/>
    <mergeCell ref="B1:C1"/>
    <mergeCell ref="A4:B4"/>
    <mergeCell ref="A5:B5"/>
    <mergeCell ref="C7:D7"/>
    <mergeCell ref="A16:O16"/>
    <mergeCell ref="A17:O17"/>
    <mergeCell ref="G7:H7"/>
    <mergeCell ref="C14:F14"/>
    <mergeCell ref="G14:J14"/>
    <mergeCell ref="A22:O22"/>
    <mergeCell ref="A31:O31"/>
    <mergeCell ref="A32:O32"/>
    <mergeCell ref="A26:O26"/>
    <mergeCell ref="A38:O38"/>
    <mergeCell ref="A55:O55"/>
    <mergeCell ref="A60:O60"/>
    <mergeCell ref="A65:O65"/>
    <mergeCell ref="A70:O70"/>
    <mergeCell ref="A42:O42"/>
    <mergeCell ref="A46:J46"/>
    <mergeCell ref="A47:O47"/>
    <mergeCell ref="A51:K51"/>
    <mergeCell ref="A89:O89"/>
    <mergeCell ref="A93:O93"/>
    <mergeCell ref="A98:O98"/>
    <mergeCell ref="A74:O74"/>
    <mergeCell ref="A75:O75"/>
    <mergeCell ref="A80:O80"/>
    <mergeCell ref="A83:O83"/>
    <mergeCell ref="A86:O86"/>
  </mergeCells>
  <conditionalFormatting sqref="A58:A70 A81 A83 A74:A79">
    <cfRule type="expression" dxfId="419" priority="451">
      <formula>$A58="O"</formula>
    </cfRule>
    <cfRule type="expression" dxfId="418" priority="452">
      <formula>$A58="S"</formula>
    </cfRule>
    <cfRule type="expression" dxfId="417" priority="453">
      <formula>$A58="G"</formula>
    </cfRule>
  </conditionalFormatting>
  <conditionalFormatting sqref="A58:A70 A81 A83 A74:A79">
    <cfRule type="expression" dxfId="416" priority="456" stopIfTrue="1">
      <formula>$A58="O"</formula>
    </cfRule>
    <cfRule type="expression" dxfId="415" priority="457" stopIfTrue="1">
      <formula>$A58="S"</formula>
    </cfRule>
  </conditionalFormatting>
  <conditionalFormatting sqref="A18:A29 A31:A36 A38:A55 A84:A97">
    <cfRule type="expression" dxfId="414" priority="436">
      <formula>$A18="O"</formula>
    </cfRule>
    <cfRule type="expression" dxfId="413" priority="437">
      <formula>$A18="S"</formula>
    </cfRule>
    <cfRule type="expression" dxfId="412" priority="438">
      <formula>$A18="G"</formula>
    </cfRule>
  </conditionalFormatting>
  <conditionalFormatting sqref="A18:A29 A31:A36 A38:A55 A84:A97">
    <cfRule type="expression" dxfId="411" priority="439" stopIfTrue="1">
      <formula>$A18="O"</formula>
    </cfRule>
    <cfRule type="expression" dxfId="410" priority="440" stopIfTrue="1">
      <formula>$A18="S"</formula>
    </cfRule>
  </conditionalFormatting>
  <conditionalFormatting sqref="A16">
    <cfRule type="expression" dxfId="409" priority="433">
      <formula>$A16="O"</formula>
    </cfRule>
    <cfRule type="expression" dxfId="408" priority="434">
      <formula>$A16="S"</formula>
    </cfRule>
    <cfRule type="expression" dxfId="407" priority="435">
      <formula>$A16="G"</formula>
    </cfRule>
  </conditionalFormatting>
  <conditionalFormatting sqref="A16">
    <cfRule type="expression" dxfId="406" priority="431" stopIfTrue="1">
      <formula>$A16="O"</formula>
    </cfRule>
    <cfRule type="expression" dxfId="405" priority="432" stopIfTrue="1">
      <formula>$A16="S"</formula>
    </cfRule>
  </conditionalFormatting>
  <conditionalFormatting sqref="A80">
    <cfRule type="expression" dxfId="404" priority="426">
      <formula>$A80="O"</formula>
    </cfRule>
    <cfRule type="expression" dxfId="403" priority="427">
      <formula>$A80="S"</formula>
    </cfRule>
    <cfRule type="expression" dxfId="402" priority="428">
      <formula>$A80="G"</formula>
    </cfRule>
  </conditionalFormatting>
  <conditionalFormatting sqref="A80">
    <cfRule type="expression" dxfId="401" priority="429" stopIfTrue="1">
      <formula>$A80="O"</formula>
    </cfRule>
    <cfRule type="expression" dxfId="400" priority="430" stopIfTrue="1">
      <formula>$A80="S"</formula>
    </cfRule>
  </conditionalFormatting>
  <conditionalFormatting sqref="A82">
    <cfRule type="expression" dxfId="399" priority="421">
      <formula>$A82="O"</formula>
    </cfRule>
    <cfRule type="expression" dxfId="398" priority="422">
      <formula>$A82="S"</formula>
    </cfRule>
    <cfRule type="expression" dxfId="397" priority="423">
      <formula>$A82="G"</formula>
    </cfRule>
  </conditionalFormatting>
  <conditionalFormatting sqref="A82">
    <cfRule type="expression" dxfId="396" priority="424" stopIfTrue="1">
      <formula>$A82="O"</formula>
    </cfRule>
    <cfRule type="expression" dxfId="395" priority="425" stopIfTrue="1">
      <formula>$A82="S"</formula>
    </cfRule>
  </conditionalFormatting>
  <conditionalFormatting sqref="B33">
    <cfRule type="expression" dxfId="394" priority="418">
      <formula>$A33="O"</formula>
    </cfRule>
    <cfRule type="expression" dxfId="393" priority="419">
      <formula>$A33="S"</formula>
    </cfRule>
    <cfRule type="expression" dxfId="392" priority="420">
      <formula>$A33="G"</formula>
    </cfRule>
  </conditionalFormatting>
  <conditionalFormatting sqref="B33">
    <cfRule type="expression" dxfId="391" priority="416" stopIfTrue="1">
      <formula>$A33="O"</formula>
    </cfRule>
    <cfRule type="expression" dxfId="390" priority="417" stopIfTrue="1">
      <formula>$A33="S"</formula>
    </cfRule>
  </conditionalFormatting>
  <conditionalFormatting sqref="B45">
    <cfRule type="expression" dxfId="389" priority="371" stopIfTrue="1">
      <formula>$A45="O"</formula>
    </cfRule>
    <cfRule type="expression" dxfId="388" priority="372" stopIfTrue="1">
      <formula>$A45="S"</formula>
    </cfRule>
  </conditionalFormatting>
  <conditionalFormatting sqref="B34">
    <cfRule type="expression" dxfId="387" priority="413">
      <formula>$A34="O"</formula>
    </cfRule>
    <cfRule type="expression" dxfId="386" priority="414">
      <formula>$A34="S"</formula>
    </cfRule>
    <cfRule type="expression" dxfId="385" priority="415">
      <formula>$A34="G"</formula>
    </cfRule>
  </conditionalFormatting>
  <conditionalFormatting sqref="B34">
    <cfRule type="expression" dxfId="384" priority="411" stopIfTrue="1">
      <formula>$A34="O"</formula>
    </cfRule>
    <cfRule type="expression" dxfId="383" priority="412" stopIfTrue="1">
      <formula>$A34="S"</formula>
    </cfRule>
  </conditionalFormatting>
  <conditionalFormatting sqref="B35">
    <cfRule type="expression" dxfId="382" priority="408">
      <formula>$A35="O"</formula>
    </cfRule>
    <cfRule type="expression" dxfId="381" priority="409">
      <formula>$A35="S"</formula>
    </cfRule>
    <cfRule type="expression" dxfId="380" priority="410">
      <formula>$A35="G"</formula>
    </cfRule>
  </conditionalFormatting>
  <conditionalFormatting sqref="B35">
    <cfRule type="expression" dxfId="379" priority="406" stopIfTrue="1">
      <formula>$A35="O"</formula>
    </cfRule>
    <cfRule type="expression" dxfId="378" priority="407" stopIfTrue="1">
      <formula>$A35="S"</formula>
    </cfRule>
  </conditionalFormatting>
  <conditionalFormatting sqref="B36">
    <cfRule type="expression" dxfId="377" priority="403">
      <formula>$A36="O"</formula>
    </cfRule>
    <cfRule type="expression" dxfId="376" priority="404">
      <formula>$A36="S"</formula>
    </cfRule>
    <cfRule type="expression" dxfId="375" priority="405">
      <formula>$A36="G"</formula>
    </cfRule>
  </conditionalFormatting>
  <conditionalFormatting sqref="B36">
    <cfRule type="expression" dxfId="374" priority="401" stopIfTrue="1">
      <formula>$A36="O"</formula>
    </cfRule>
    <cfRule type="expression" dxfId="373" priority="402" stopIfTrue="1">
      <formula>$A36="S"</formula>
    </cfRule>
  </conditionalFormatting>
  <conditionalFormatting sqref="B37">
    <cfRule type="expression" dxfId="372" priority="398">
      <formula>$A37="O"</formula>
    </cfRule>
    <cfRule type="expression" dxfId="371" priority="399">
      <formula>$A37="S"</formula>
    </cfRule>
    <cfRule type="expression" dxfId="370" priority="400">
      <formula>$A37="G"</formula>
    </cfRule>
  </conditionalFormatting>
  <conditionalFormatting sqref="B37">
    <cfRule type="expression" dxfId="369" priority="396" stopIfTrue="1">
      <formula>$A37="O"</formula>
    </cfRule>
    <cfRule type="expression" dxfId="368" priority="397" stopIfTrue="1">
      <formula>$A37="S"</formula>
    </cfRule>
  </conditionalFormatting>
  <conditionalFormatting sqref="B39">
    <cfRule type="expression" dxfId="367" priority="393">
      <formula>$A39="O"</formula>
    </cfRule>
    <cfRule type="expression" dxfId="366" priority="394">
      <formula>$A39="S"</formula>
    </cfRule>
    <cfRule type="expression" dxfId="365" priority="395">
      <formula>$A39="G"</formula>
    </cfRule>
  </conditionalFormatting>
  <conditionalFormatting sqref="B39">
    <cfRule type="expression" dxfId="364" priority="391" stopIfTrue="1">
      <formula>$A39="O"</formula>
    </cfRule>
    <cfRule type="expression" dxfId="363" priority="392" stopIfTrue="1">
      <formula>$A39="S"</formula>
    </cfRule>
  </conditionalFormatting>
  <conditionalFormatting sqref="B40">
    <cfRule type="expression" dxfId="362" priority="388">
      <formula>$A40="O"</formula>
    </cfRule>
    <cfRule type="expression" dxfId="361" priority="389">
      <formula>$A40="S"</formula>
    </cfRule>
    <cfRule type="expression" dxfId="360" priority="390">
      <formula>$A40="G"</formula>
    </cfRule>
  </conditionalFormatting>
  <conditionalFormatting sqref="B40">
    <cfRule type="expression" dxfId="359" priority="386" stopIfTrue="1">
      <formula>$A40="O"</formula>
    </cfRule>
    <cfRule type="expression" dxfId="358" priority="387" stopIfTrue="1">
      <formula>$A40="S"</formula>
    </cfRule>
  </conditionalFormatting>
  <conditionalFormatting sqref="B41">
    <cfRule type="expression" dxfId="357" priority="383">
      <formula>$A41="O"</formula>
    </cfRule>
    <cfRule type="expression" dxfId="356" priority="384">
      <formula>$A41="S"</formula>
    </cfRule>
    <cfRule type="expression" dxfId="355" priority="385">
      <formula>$A41="G"</formula>
    </cfRule>
  </conditionalFormatting>
  <conditionalFormatting sqref="B41">
    <cfRule type="expression" dxfId="354" priority="381" stopIfTrue="1">
      <formula>$A41="O"</formula>
    </cfRule>
    <cfRule type="expression" dxfId="353" priority="382" stopIfTrue="1">
      <formula>$A41="S"</formula>
    </cfRule>
  </conditionalFormatting>
  <conditionalFormatting sqref="B43:B44">
    <cfRule type="expression" dxfId="352" priority="378">
      <formula>$A43="O"</formula>
    </cfRule>
    <cfRule type="expression" dxfId="351" priority="379">
      <formula>$A43="S"</formula>
    </cfRule>
    <cfRule type="expression" dxfId="350" priority="380">
      <formula>$A43="G"</formula>
    </cfRule>
  </conditionalFormatting>
  <conditionalFormatting sqref="B43:B44">
    <cfRule type="expression" dxfId="349" priority="376" stopIfTrue="1">
      <formula>$A43="O"</formula>
    </cfRule>
    <cfRule type="expression" dxfId="348" priority="377" stopIfTrue="1">
      <formula>$A43="S"</formula>
    </cfRule>
  </conditionalFormatting>
  <conditionalFormatting sqref="B45">
    <cfRule type="expression" dxfId="347" priority="373">
      <formula>$A45="O"</formula>
    </cfRule>
    <cfRule type="expression" dxfId="346" priority="374">
      <formula>$A45="S"</formula>
    </cfRule>
    <cfRule type="expression" dxfId="345" priority="375">
      <formula>$A45="G"</formula>
    </cfRule>
  </conditionalFormatting>
  <conditionalFormatting sqref="B66">
    <cfRule type="expression" dxfId="344" priority="368">
      <formula>$A66="O"</formula>
    </cfRule>
    <cfRule type="expression" dxfId="343" priority="369">
      <formula>$A66="S"</formula>
    </cfRule>
    <cfRule type="expression" dxfId="342" priority="370">
      <formula>$A66="G"</formula>
    </cfRule>
  </conditionalFormatting>
  <conditionalFormatting sqref="B66">
    <cfRule type="expression" dxfId="341" priority="366" stopIfTrue="1">
      <formula>$A66="O"</formula>
    </cfRule>
    <cfRule type="expression" dxfId="340" priority="367" stopIfTrue="1">
      <formula>$A66="S"</formula>
    </cfRule>
  </conditionalFormatting>
  <conditionalFormatting sqref="B67">
    <cfRule type="expression" dxfId="339" priority="363">
      <formula>$A67="O"</formula>
    </cfRule>
    <cfRule type="expression" dxfId="338" priority="364">
      <formula>$A67="S"</formula>
    </cfRule>
    <cfRule type="expression" dxfId="337" priority="365">
      <formula>$A67="G"</formula>
    </cfRule>
  </conditionalFormatting>
  <conditionalFormatting sqref="B67">
    <cfRule type="expression" dxfId="336" priority="361" stopIfTrue="1">
      <formula>$A67="O"</formula>
    </cfRule>
    <cfRule type="expression" dxfId="335" priority="362" stopIfTrue="1">
      <formula>$A67="S"</formula>
    </cfRule>
  </conditionalFormatting>
  <conditionalFormatting sqref="B68">
    <cfRule type="expression" dxfId="334" priority="358">
      <formula>$A68="O"</formula>
    </cfRule>
    <cfRule type="expression" dxfId="333" priority="359">
      <formula>$A68="S"</formula>
    </cfRule>
    <cfRule type="expression" dxfId="332" priority="360">
      <formula>$A68="G"</formula>
    </cfRule>
  </conditionalFormatting>
  <conditionalFormatting sqref="B68">
    <cfRule type="expression" dxfId="331" priority="356" stopIfTrue="1">
      <formula>$A68="O"</formula>
    </cfRule>
    <cfRule type="expression" dxfId="330" priority="357" stopIfTrue="1">
      <formula>$A68="S"</formula>
    </cfRule>
  </conditionalFormatting>
  <conditionalFormatting sqref="B69">
    <cfRule type="expression" dxfId="329" priority="353">
      <formula>$A69="O"</formula>
    </cfRule>
    <cfRule type="expression" dxfId="328" priority="354">
      <formula>$A69="S"</formula>
    </cfRule>
    <cfRule type="expression" dxfId="327" priority="355">
      <formula>$A69="G"</formula>
    </cfRule>
  </conditionalFormatting>
  <conditionalFormatting sqref="B69">
    <cfRule type="expression" dxfId="326" priority="351" stopIfTrue="1">
      <formula>$A69="O"</formula>
    </cfRule>
    <cfRule type="expression" dxfId="325" priority="352" stopIfTrue="1">
      <formula>$A69="S"</formula>
    </cfRule>
  </conditionalFormatting>
  <conditionalFormatting sqref="B18">
    <cfRule type="expression" dxfId="324" priority="348">
      <formula>$A18="O"</formula>
    </cfRule>
    <cfRule type="expression" dxfId="323" priority="349">
      <formula>$A18="S"</formula>
    </cfRule>
    <cfRule type="expression" dxfId="322" priority="350">
      <formula>$A18="G"</formula>
    </cfRule>
  </conditionalFormatting>
  <conditionalFormatting sqref="B18">
    <cfRule type="expression" dxfId="321" priority="346" stopIfTrue="1">
      <formula>$A18="O"</formula>
    </cfRule>
    <cfRule type="expression" dxfId="320" priority="347" stopIfTrue="1">
      <formula>$A18="S"</formula>
    </cfRule>
  </conditionalFormatting>
  <conditionalFormatting sqref="B19">
    <cfRule type="expression" dxfId="319" priority="343">
      <formula>$A19="O"</formula>
    </cfRule>
    <cfRule type="expression" dxfId="318" priority="344">
      <formula>$A19="S"</formula>
    </cfRule>
    <cfRule type="expression" dxfId="317" priority="345">
      <formula>$A19="G"</formula>
    </cfRule>
  </conditionalFormatting>
  <conditionalFormatting sqref="B19">
    <cfRule type="expression" dxfId="316" priority="341" stopIfTrue="1">
      <formula>$A19="O"</formula>
    </cfRule>
    <cfRule type="expression" dxfId="315" priority="342" stopIfTrue="1">
      <formula>$A19="S"</formula>
    </cfRule>
  </conditionalFormatting>
  <conditionalFormatting sqref="B20">
    <cfRule type="expression" dxfId="314" priority="338">
      <formula>$A20="O"</formula>
    </cfRule>
    <cfRule type="expression" dxfId="313" priority="339">
      <formula>$A20="S"</formula>
    </cfRule>
    <cfRule type="expression" dxfId="312" priority="340">
      <formula>$A20="G"</formula>
    </cfRule>
  </conditionalFormatting>
  <conditionalFormatting sqref="B20">
    <cfRule type="expression" dxfId="311" priority="336" stopIfTrue="1">
      <formula>$A20="O"</formula>
    </cfRule>
    <cfRule type="expression" dxfId="310" priority="337" stopIfTrue="1">
      <formula>$A20="S"</formula>
    </cfRule>
  </conditionalFormatting>
  <conditionalFormatting sqref="B21">
    <cfRule type="expression" dxfId="309" priority="333">
      <formula>$A21="O"</formula>
    </cfRule>
    <cfRule type="expression" dxfId="308" priority="334">
      <formula>$A21="S"</formula>
    </cfRule>
    <cfRule type="expression" dxfId="307" priority="335">
      <formula>$A21="G"</formula>
    </cfRule>
  </conditionalFormatting>
  <conditionalFormatting sqref="B21">
    <cfRule type="expression" dxfId="306" priority="331" stopIfTrue="1">
      <formula>$A21="O"</formula>
    </cfRule>
    <cfRule type="expression" dxfId="305" priority="332" stopIfTrue="1">
      <formula>$A21="S"</formula>
    </cfRule>
  </conditionalFormatting>
  <conditionalFormatting sqref="B23">
    <cfRule type="expression" dxfId="304" priority="328">
      <formula>$A23="O"</formula>
    </cfRule>
    <cfRule type="expression" dxfId="303" priority="329">
      <formula>$A23="S"</formula>
    </cfRule>
    <cfRule type="expression" dxfId="302" priority="330">
      <formula>$A23="G"</formula>
    </cfRule>
  </conditionalFormatting>
  <conditionalFormatting sqref="B23">
    <cfRule type="expression" dxfId="301" priority="326" stopIfTrue="1">
      <formula>$A23="O"</formula>
    </cfRule>
    <cfRule type="expression" dxfId="300" priority="327" stopIfTrue="1">
      <formula>$A23="S"</formula>
    </cfRule>
  </conditionalFormatting>
  <conditionalFormatting sqref="B24">
    <cfRule type="expression" dxfId="299" priority="323">
      <formula>$A24="O"</formula>
    </cfRule>
    <cfRule type="expression" dxfId="298" priority="324">
      <formula>$A24="S"</formula>
    </cfRule>
    <cfRule type="expression" dxfId="297" priority="325">
      <formula>$A24="G"</formula>
    </cfRule>
  </conditionalFormatting>
  <conditionalFormatting sqref="B24">
    <cfRule type="expression" dxfId="296" priority="321" stopIfTrue="1">
      <formula>$A24="O"</formula>
    </cfRule>
    <cfRule type="expression" dxfId="295" priority="322" stopIfTrue="1">
      <formula>$A24="S"</formula>
    </cfRule>
  </conditionalFormatting>
  <conditionalFormatting sqref="B25">
    <cfRule type="expression" dxfId="294" priority="318">
      <formula>$A25="O"</formula>
    </cfRule>
    <cfRule type="expression" dxfId="293" priority="319">
      <formula>$A25="S"</formula>
    </cfRule>
    <cfRule type="expression" dxfId="292" priority="320">
      <formula>$A25="G"</formula>
    </cfRule>
  </conditionalFormatting>
  <conditionalFormatting sqref="B25">
    <cfRule type="expression" dxfId="291" priority="316" stopIfTrue="1">
      <formula>$A25="O"</formula>
    </cfRule>
    <cfRule type="expression" dxfId="290" priority="317" stopIfTrue="1">
      <formula>$A25="S"</formula>
    </cfRule>
  </conditionalFormatting>
  <conditionalFormatting sqref="B27">
    <cfRule type="expression" dxfId="289" priority="313">
      <formula>$A27="O"</formula>
    </cfRule>
    <cfRule type="expression" dxfId="288" priority="314">
      <formula>$A27="S"</formula>
    </cfRule>
    <cfRule type="expression" dxfId="287" priority="315">
      <formula>$A27="G"</formula>
    </cfRule>
  </conditionalFormatting>
  <conditionalFormatting sqref="B27">
    <cfRule type="expression" dxfId="286" priority="311" stopIfTrue="1">
      <formula>$A27="O"</formula>
    </cfRule>
    <cfRule type="expression" dxfId="285" priority="312" stopIfTrue="1">
      <formula>$A27="S"</formula>
    </cfRule>
  </conditionalFormatting>
  <conditionalFormatting sqref="B28:B29">
    <cfRule type="expression" dxfId="284" priority="308">
      <formula>$A28="O"</formula>
    </cfRule>
    <cfRule type="expression" dxfId="283" priority="309">
      <formula>$A28="S"</formula>
    </cfRule>
    <cfRule type="expression" dxfId="282" priority="310">
      <formula>$A28="G"</formula>
    </cfRule>
  </conditionalFormatting>
  <conditionalFormatting sqref="B28:B29">
    <cfRule type="expression" dxfId="281" priority="306" stopIfTrue="1">
      <formula>$A28="O"</formula>
    </cfRule>
    <cfRule type="expression" dxfId="280" priority="307" stopIfTrue="1">
      <formula>$A28="S"</formula>
    </cfRule>
  </conditionalFormatting>
  <conditionalFormatting sqref="B30">
    <cfRule type="expression" dxfId="279" priority="303">
      <formula>$A30="O"</formula>
    </cfRule>
    <cfRule type="expression" dxfId="278" priority="304">
      <formula>$A30="S"</formula>
    </cfRule>
    <cfRule type="expression" dxfId="277" priority="305">
      <formula>$A30="G"</formula>
    </cfRule>
  </conditionalFormatting>
  <conditionalFormatting sqref="B30">
    <cfRule type="expression" dxfId="276" priority="301" stopIfTrue="1">
      <formula>$A30="O"</formula>
    </cfRule>
    <cfRule type="expression" dxfId="275" priority="302" stopIfTrue="1">
      <formula>$A30="S"</formula>
    </cfRule>
  </conditionalFormatting>
  <conditionalFormatting sqref="A73">
    <cfRule type="expression" dxfId="274" priority="276">
      <formula>$A73="O"</formula>
    </cfRule>
    <cfRule type="expression" dxfId="273" priority="277">
      <formula>$A73="S"</formula>
    </cfRule>
    <cfRule type="expression" dxfId="272" priority="278">
      <formula>$A73="G"</formula>
    </cfRule>
  </conditionalFormatting>
  <conditionalFormatting sqref="A71">
    <cfRule type="expression" dxfId="271" priority="296">
      <formula>$A71="O"</formula>
    </cfRule>
    <cfRule type="expression" dxfId="270" priority="297">
      <formula>$A71="S"</formula>
    </cfRule>
    <cfRule type="expression" dxfId="269" priority="298">
      <formula>$A71="G"</formula>
    </cfRule>
  </conditionalFormatting>
  <conditionalFormatting sqref="A71">
    <cfRule type="expression" dxfId="268" priority="299" stopIfTrue="1">
      <formula>$A71="O"</formula>
    </cfRule>
    <cfRule type="expression" dxfId="267" priority="300" stopIfTrue="1">
      <formula>$A71="S"</formula>
    </cfRule>
  </conditionalFormatting>
  <conditionalFormatting sqref="B71">
    <cfRule type="expression" dxfId="266" priority="293">
      <formula>$A71="O"</formula>
    </cfRule>
    <cfRule type="expression" dxfId="265" priority="294">
      <formula>$A71="S"</formula>
    </cfRule>
    <cfRule type="expression" dxfId="264" priority="295">
      <formula>$A71="G"</formula>
    </cfRule>
  </conditionalFormatting>
  <conditionalFormatting sqref="B71">
    <cfRule type="expression" dxfId="263" priority="291" stopIfTrue="1">
      <formula>$A71="O"</formula>
    </cfRule>
    <cfRule type="expression" dxfId="262" priority="292" stopIfTrue="1">
      <formula>$A71="S"</formula>
    </cfRule>
  </conditionalFormatting>
  <conditionalFormatting sqref="A72">
    <cfRule type="expression" dxfId="261" priority="286">
      <formula>$A72="O"</formula>
    </cfRule>
    <cfRule type="expression" dxfId="260" priority="287">
      <formula>$A72="S"</formula>
    </cfRule>
    <cfRule type="expression" dxfId="259" priority="288">
      <formula>$A72="G"</formula>
    </cfRule>
  </conditionalFormatting>
  <conditionalFormatting sqref="A72">
    <cfRule type="expression" dxfId="258" priority="289" stopIfTrue="1">
      <formula>$A72="O"</formula>
    </cfRule>
    <cfRule type="expression" dxfId="257" priority="290" stopIfTrue="1">
      <formula>$A72="S"</formula>
    </cfRule>
  </conditionalFormatting>
  <conditionalFormatting sqref="B72">
    <cfRule type="expression" dxfId="256" priority="283">
      <formula>$A72="O"</formula>
    </cfRule>
    <cfRule type="expression" dxfId="255" priority="284">
      <formula>$A72="S"</formula>
    </cfRule>
    <cfRule type="expression" dxfId="254" priority="285">
      <formula>$A72="G"</formula>
    </cfRule>
  </conditionalFormatting>
  <conditionalFormatting sqref="B72">
    <cfRule type="expression" dxfId="253" priority="281" stopIfTrue="1">
      <formula>$A72="O"</formula>
    </cfRule>
    <cfRule type="expression" dxfId="252" priority="282" stopIfTrue="1">
      <formula>$A72="S"</formula>
    </cfRule>
  </conditionalFormatting>
  <conditionalFormatting sqref="A73">
    <cfRule type="expression" dxfId="251" priority="279" stopIfTrue="1">
      <formula>$A73="O"</formula>
    </cfRule>
    <cfRule type="expression" dxfId="250" priority="280" stopIfTrue="1">
      <formula>$A73="S"</formula>
    </cfRule>
  </conditionalFormatting>
  <conditionalFormatting sqref="B48:B50">
    <cfRule type="expression" dxfId="249" priority="253">
      <formula>$A48="O"</formula>
    </cfRule>
    <cfRule type="expression" dxfId="248" priority="254">
      <formula>$A48="S"</formula>
    </cfRule>
    <cfRule type="expression" dxfId="247" priority="255">
      <formula>$A48="G"</formula>
    </cfRule>
  </conditionalFormatting>
  <conditionalFormatting sqref="B48:B50">
    <cfRule type="expression" dxfId="246" priority="251" stopIfTrue="1">
      <formula>$A48="O"</formula>
    </cfRule>
    <cfRule type="expression" dxfId="245" priority="252" stopIfTrue="1">
      <formula>$A48="S"</formula>
    </cfRule>
  </conditionalFormatting>
  <conditionalFormatting sqref="B56 B58:B59">
    <cfRule type="expression" dxfId="244" priority="243">
      <formula>$A56="O"</formula>
    </cfRule>
    <cfRule type="expression" dxfId="243" priority="244">
      <formula>$A56="S"</formula>
    </cfRule>
    <cfRule type="expression" dxfId="242" priority="245">
      <formula>$A56="G"</formula>
    </cfRule>
  </conditionalFormatting>
  <conditionalFormatting sqref="B56 B58:B59">
    <cfRule type="expression" dxfId="241" priority="241" stopIfTrue="1">
      <formula>$A56="O"</formula>
    </cfRule>
    <cfRule type="expression" dxfId="240" priority="242" stopIfTrue="1">
      <formula>$A56="S"</formula>
    </cfRule>
  </conditionalFormatting>
  <conditionalFormatting sqref="B61:B64">
    <cfRule type="expression" dxfId="239" priority="238">
      <formula>$A61="O"</formula>
    </cfRule>
    <cfRule type="expression" dxfId="238" priority="239">
      <formula>$A61="S"</formula>
    </cfRule>
    <cfRule type="expression" dxfId="237" priority="240">
      <formula>$A61="G"</formula>
    </cfRule>
  </conditionalFormatting>
  <conditionalFormatting sqref="B61:B64">
    <cfRule type="expression" dxfId="236" priority="236" stopIfTrue="1">
      <formula>$A61="O"</formula>
    </cfRule>
    <cfRule type="expression" dxfId="235" priority="237" stopIfTrue="1">
      <formula>$A61="S"</formula>
    </cfRule>
  </conditionalFormatting>
  <conditionalFormatting sqref="C18:D21 F18:F21">
    <cfRule type="expression" dxfId="234" priority="233">
      <formula>$A18="O"</formula>
    </cfRule>
    <cfRule type="expression" dxfId="233" priority="234">
      <formula>$A18="S"</formula>
    </cfRule>
    <cfRule type="expression" dxfId="232" priority="235">
      <formula>$A18="G"</formula>
    </cfRule>
  </conditionalFormatting>
  <conditionalFormatting sqref="C18:D21 F18:F21">
    <cfRule type="expression" dxfId="231" priority="231" stopIfTrue="1">
      <formula>$A18="O"</formula>
    </cfRule>
    <cfRule type="expression" dxfId="230" priority="232" stopIfTrue="1">
      <formula>$A18="S"</formula>
    </cfRule>
  </conditionalFormatting>
  <conditionalFormatting sqref="J18">
    <cfRule type="expression" dxfId="229" priority="228">
      <formula>$A18="O"</formula>
    </cfRule>
    <cfRule type="expression" dxfId="228" priority="229">
      <formula>$A18="S"</formula>
    </cfRule>
    <cfRule type="expression" dxfId="227" priority="230">
      <formula>$A18="G"</formula>
    </cfRule>
  </conditionalFormatting>
  <conditionalFormatting sqref="J18">
    <cfRule type="expression" dxfId="226" priority="226" stopIfTrue="1">
      <formula>$A18="O"</formula>
    </cfRule>
    <cfRule type="expression" dxfId="225" priority="227" stopIfTrue="1">
      <formula>$A18="S"</formula>
    </cfRule>
  </conditionalFormatting>
  <conditionalFormatting sqref="J19">
    <cfRule type="expression" dxfId="224" priority="223">
      <formula>$A19="O"</formula>
    </cfRule>
    <cfRule type="expression" dxfId="223" priority="224">
      <formula>$A19="S"</formula>
    </cfRule>
    <cfRule type="expression" dxfId="222" priority="225">
      <formula>$A19="G"</formula>
    </cfRule>
  </conditionalFormatting>
  <conditionalFormatting sqref="J19">
    <cfRule type="expression" dxfId="221" priority="221" stopIfTrue="1">
      <formula>$A19="O"</formula>
    </cfRule>
    <cfRule type="expression" dxfId="220" priority="222" stopIfTrue="1">
      <formula>$A19="S"</formula>
    </cfRule>
  </conditionalFormatting>
  <conditionalFormatting sqref="J20">
    <cfRule type="expression" dxfId="219" priority="218">
      <formula>$A20="O"</formula>
    </cfRule>
    <cfRule type="expression" dxfId="218" priority="219">
      <formula>$A20="S"</formula>
    </cfRule>
    <cfRule type="expression" dxfId="217" priority="220">
      <formula>$A20="G"</formula>
    </cfRule>
  </conditionalFormatting>
  <conditionalFormatting sqref="J20">
    <cfRule type="expression" dxfId="216" priority="216" stopIfTrue="1">
      <formula>$A20="O"</formula>
    </cfRule>
    <cfRule type="expression" dxfId="215" priority="217" stopIfTrue="1">
      <formula>$A20="S"</formula>
    </cfRule>
  </conditionalFormatting>
  <conditionalFormatting sqref="J21">
    <cfRule type="expression" dxfId="214" priority="213">
      <formula>$A21="O"</formula>
    </cfRule>
    <cfRule type="expression" dxfId="213" priority="214">
      <formula>$A21="S"</formula>
    </cfRule>
    <cfRule type="expression" dxfId="212" priority="215">
      <formula>$A21="G"</formula>
    </cfRule>
  </conditionalFormatting>
  <conditionalFormatting sqref="J21">
    <cfRule type="expression" dxfId="211" priority="211" stopIfTrue="1">
      <formula>$A21="O"</formula>
    </cfRule>
    <cfRule type="expression" dxfId="210" priority="212" stopIfTrue="1">
      <formula>$A21="S"</formula>
    </cfRule>
  </conditionalFormatting>
  <conditionalFormatting sqref="C23:D25 F23:F25">
    <cfRule type="expression" dxfId="209" priority="208">
      <formula>$A23="O"</formula>
    </cfRule>
    <cfRule type="expression" dxfId="208" priority="209">
      <formula>$A23="S"</formula>
    </cfRule>
    <cfRule type="expression" dxfId="207" priority="210">
      <formula>$A23="G"</formula>
    </cfRule>
  </conditionalFormatting>
  <conditionalFormatting sqref="C23:D25 F23:F25">
    <cfRule type="expression" dxfId="206" priority="206" stopIfTrue="1">
      <formula>$A23="O"</formula>
    </cfRule>
    <cfRule type="expression" dxfId="205" priority="207" stopIfTrue="1">
      <formula>$A23="S"</formula>
    </cfRule>
  </conditionalFormatting>
  <conditionalFormatting sqref="J23">
    <cfRule type="expression" dxfId="204" priority="203">
      <formula>$A23="O"</formula>
    </cfRule>
    <cfRule type="expression" dxfId="203" priority="204">
      <formula>$A23="S"</formula>
    </cfRule>
    <cfRule type="expression" dxfId="202" priority="205">
      <formula>$A23="G"</formula>
    </cfRule>
  </conditionalFormatting>
  <conditionalFormatting sqref="J23">
    <cfRule type="expression" dxfId="201" priority="201" stopIfTrue="1">
      <formula>$A23="O"</formula>
    </cfRule>
    <cfRule type="expression" dxfId="200" priority="202" stopIfTrue="1">
      <formula>$A23="S"</formula>
    </cfRule>
  </conditionalFormatting>
  <conditionalFormatting sqref="J24">
    <cfRule type="expression" dxfId="199" priority="198">
      <formula>$A24="O"</formula>
    </cfRule>
    <cfRule type="expression" dxfId="198" priority="199">
      <formula>$A24="S"</formula>
    </cfRule>
    <cfRule type="expression" dxfId="197" priority="200">
      <formula>$A24="G"</formula>
    </cfRule>
  </conditionalFormatting>
  <conditionalFormatting sqref="J24">
    <cfRule type="expression" dxfId="196" priority="196" stopIfTrue="1">
      <formula>$A24="O"</formula>
    </cfRule>
    <cfRule type="expression" dxfId="195" priority="197" stopIfTrue="1">
      <formula>$A24="S"</formula>
    </cfRule>
  </conditionalFormatting>
  <conditionalFormatting sqref="J25">
    <cfRule type="expression" dxfId="194" priority="193">
      <formula>$A25="O"</formula>
    </cfRule>
    <cfRule type="expression" dxfId="193" priority="194">
      <formula>$A25="S"</formula>
    </cfRule>
    <cfRule type="expression" dxfId="192" priority="195">
      <formula>$A25="G"</formula>
    </cfRule>
  </conditionalFormatting>
  <conditionalFormatting sqref="J25">
    <cfRule type="expression" dxfId="191" priority="191" stopIfTrue="1">
      <formula>$A25="O"</formula>
    </cfRule>
    <cfRule type="expression" dxfId="190" priority="192" stopIfTrue="1">
      <formula>$A25="S"</formula>
    </cfRule>
  </conditionalFormatting>
  <conditionalFormatting sqref="C27:D30 F27:F30">
    <cfRule type="expression" dxfId="189" priority="188">
      <formula>$A27="O"</formula>
    </cfRule>
    <cfRule type="expression" dxfId="188" priority="189">
      <formula>$A27="S"</formula>
    </cfRule>
    <cfRule type="expression" dxfId="187" priority="190">
      <formula>$A27="G"</formula>
    </cfRule>
  </conditionalFormatting>
  <conditionalFormatting sqref="C27:D30 F27:F30">
    <cfRule type="expression" dxfId="186" priority="186" stopIfTrue="1">
      <formula>$A27="O"</formula>
    </cfRule>
    <cfRule type="expression" dxfId="185" priority="187" stopIfTrue="1">
      <formula>$A27="S"</formula>
    </cfRule>
  </conditionalFormatting>
  <conditionalFormatting sqref="J27">
    <cfRule type="expression" dxfId="184" priority="183">
      <formula>$A27="O"</formula>
    </cfRule>
    <cfRule type="expression" dxfId="183" priority="184">
      <formula>$A27="S"</formula>
    </cfRule>
    <cfRule type="expression" dxfId="182" priority="185">
      <formula>$A27="G"</formula>
    </cfRule>
  </conditionalFormatting>
  <conditionalFormatting sqref="J27">
    <cfRule type="expression" dxfId="181" priority="181" stopIfTrue="1">
      <formula>$A27="O"</formula>
    </cfRule>
    <cfRule type="expression" dxfId="180" priority="182" stopIfTrue="1">
      <formula>$A27="S"</formula>
    </cfRule>
  </conditionalFormatting>
  <conditionalFormatting sqref="J28">
    <cfRule type="expression" dxfId="179" priority="178">
      <formula>$A28="O"</formula>
    </cfRule>
    <cfRule type="expression" dxfId="178" priority="179">
      <formula>$A28="S"</formula>
    </cfRule>
    <cfRule type="expression" dxfId="177" priority="180">
      <formula>$A28="G"</formula>
    </cfRule>
  </conditionalFormatting>
  <conditionalFormatting sqref="J28">
    <cfRule type="expression" dxfId="176" priority="176" stopIfTrue="1">
      <formula>$A28="O"</formula>
    </cfRule>
    <cfRule type="expression" dxfId="175" priority="177" stopIfTrue="1">
      <formula>$A28="S"</formula>
    </cfRule>
  </conditionalFormatting>
  <conditionalFormatting sqref="J29">
    <cfRule type="expression" dxfId="174" priority="173">
      <formula>$A29="O"</formula>
    </cfRule>
    <cfRule type="expression" dxfId="173" priority="174">
      <formula>$A29="S"</formula>
    </cfRule>
    <cfRule type="expression" dxfId="172" priority="175">
      <formula>$A29="G"</formula>
    </cfRule>
  </conditionalFormatting>
  <conditionalFormatting sqref="J29">
    <cfRule type="expression" dxfId="171" priority="171" stopIfTrue="1">
      <formula>$A29="O"</formula>
    </cfRule>
    <cfRule type="expression" dxfId="170" priority="172" stopIfTrue="1">
      <formula>$A29="S"</formula>
    </cfRule>
  </conditionalFormatting>
  <conditionalFormatting sqref="J30">
    <cfRule type="expression" dxfId="169" priority="168">
      <formula>$A30="O"</formula>
    </cfRule>
    <cfRule type="expression" dxfId="168" priority="169">
      <formula>$A30="S"</formula>
    </cfRule>
    <cfRule type="expression" dxfId="167" priority="170">
      <formula>$A30="G"</formula>
    </cfRule>
  </conditionalFormatting>
  <conditionalFormatting sqref="J30">
    <cfRule type="expression" dxfId="166" priority="166" stopIfTrue="1">
      <formula>$A30="O"</formula>
    </cfRule>
    <cfRule type="expression" dxfId="165" priority="167" stopIfTrue="1">
      <formula>$A30="S"</formula>
    </cfRule>
  </conditionalFormatting>
  <conditionalFormatting sqref="C33:D37 F33:F37">
    <cfRule type="expression" dxfId="164" priority="163">
      <formula>$A33="O"</formula>
    </cfRule>
    <cfRule type="expression" dxfId="163" priority="164">
      <formula>$A33="S"</formula>
    </cfRule>
    <cfRule type="expression" dxfId="162" priority="165">
      <formula>$A33="G"</formula>
    </cfRule>
  </conditionalFormatting>
  <conditionalFormatting sqref="C33:D37 F33:F37">
    <cfRule type="expression" dxfId="161" priority="161" stopIfTrue="1">
      <formula>$A33="O"</formula>
    </cfRule>
    <cfRule type="expression" dxfId="160" priority="162" stopIfTrue="1">
      <formula>$A33="S"</formula>
    </cfRule>
  </conditionalFormatting>
  <conditionalFormatting sqref="C39:D41 F39:F41">
    <cfRule type="expression" dxfId="159" priority="158">
      <formula>$A39="O"</formula>
    </cfRule>
    <cfRule type="expression" dxfId="158" priority="159">
      <formula>$A39="S"</formula>
    </cfRule>
    <cfRule type="expression" dxfId="157" priority="160">
      <formula>$A39="G"</formula>
    </cfRule>
  </conditionalFormatting>
  <conditionalFormatting sqref="C39:D41 F39:F41">
    <cfRule type="expression" dxfId="156" priority="156" stopIfTrue="1">
      <formula>$A39="O"</formula>
    </cfRule>
    <cfRule type="expression" dxfId="155" priority="157" stopIfTrue="1">
      <formula>$A39="S"</formula>
    </cfRule>
  </conditionalFormatting>
  <conditionalFormatting sqref="C43:D45 F43:F45">
    <cfRule type="expression" dxfId="154" priority="153">
      <formula>$A43="O"</formula>
    </cfRule>
    <cfRule type="expression" dxfId="153" priority="154">
      <formula>$A43="S"</formula>
    </cfRule>
    <cfRule type="expression" dxfId="152" priority="155">
      <formula>$A43="G"</formula>
    </cfRule>
  </conditionalFormatting>
  <conditionalFormatting sqref="C43:D45 F43:F45">
    <cfRule type="expression" dxfId="151" priority="151" stopIfTrue="1">
      <formula>$A43="O"</formula>
    </cfRule>
    <cfRule type="expression" dxfId="150" priority="152" stopIfTrue="1">
      <formula>$A43="S"</formula>
    </cfRule>
  </conditionalFormatting>
  <conditionalFormatting sqref="C48:D50 F48:F50">
    <cfRule type="expression" dxfId="149" priority="148">
      <formula>$A48="O"</formula>
    </cfRule>
    <cfRule type="expression" dxfId="148" priority="149">
      <formula>$A48="S"</formula>
    </cfRule>
    <cfRule type="expression" dxfId="147" priority="150">
      <formula>$A48="G"</formula>
    </cfRule>
  </conditionalFormatting>
  <conditionalFormatting sqref="C48:D50 F48:F50">
    <cfRule type="expression" dxfId="146" priority="146" stopIfTrue="1">
      <formula>$A48="O"</formula>
    </cfRule>
    <cfRule type="expression" dxfId="145" priority="147" stopIfTrue="1">
      <formula>$A48="S"</formula>
    </cfRule>
  </conditionalFormatting>
  <conditionalFormatting sqref="J48">
    <cfRule type="expression" dxfId="144" priority="143">
      <formula>$A48="O"</formula>
    </cfRule>
    <cfRule type="expression" dxfId="143" priority="144">
      <formula>$A48="S"</formula>
    </cfRule>
    <cfRule type="expression" dxfId="142" priority="145">
      <formula>$A48="G"</formula>
    </cfRule>
  </conditionalFormatting>
  <conditionalFormatting sqref="J48">
    <cfRule type="expression" dxfId="141" priority="141" stopIfTrue="1">
      <formula>$A48="O"</formula>
    </cfRule>
    <cfRule type="expression" dxfId="140" priority="142" stopIfTrue="1">
      <formula>$A48="S"</formula>
    </cfRule>
  </conditionalFormatting>
  <conditionalFormatting sqref="J49">
    <cfRule type="expression" dxfId="139" priority="138">
      <formula>$A49="O"</formula>
    </cfRule>
    <cfRule type="expression" dxfId="138" priority="139">
      <formula>$A49="S"</formula>
    </cfRule>
    <cfRule type="expression" dxfId="137" priority="140">
      <formula>$A49="G"</formula>
    </cfRule>
  </conditionalFormatting>
  <conditionalFormatting sqref="J49">
    <cfRule type="expression" dxfId="136" priority="136" stopIfTrue="1">
      <formula>$A49="O"</formula>
    </cfRule>
    <cfRule type="expression" dxfId="135" priority="137" stopIfTrue="1">
      <formula>$A49="S"</formula>
    </cfRule>
  </conditionalFormatting>
  <conditionalFormatting sqref="J50">
    <cfRule type="expression" dxfId="134" priority="133">
      <formula>$A50="O"</formula>
    </cfRule>
    <cfRule type="expression" dxfId="133" priority="134">
      <formula>$A50="S"</formula>
    </cfRule>
    <cfRule type="expression" dxfId="132" priority="135">
      <formula>$A50="G"</formula>
    </cfRule>
  </conditionalFormatting>
  <conditionalFormatting sqref="J50">
    <cfRule type="expression" dxfId="131" priority="131" stopIfTrue="1">
      <formula>$A50="O"</formula>
    </cfRule>
    <cfRule type="expression" dxfId="130" priority="132" stopIfTrue="1">
      <formula>$A50="S"</formula>
    </cfRule>
  </conditionalFormatting>
  <conditionalFormatting sqref="C52:D54 F52:F54">
    <cfRule type="expression" dxfId="129" priority="128">
      <formula>$A52="O"</formula>
    </cfRule>
    <cfRule type="expression" dxfId="128" priority="129">
      <formula>$A52="S"</formula>
    </cfRule>
    <cfRule type="expression" dxfId="127" priority="130">
      <formula>$A52="G"</formula>
    </cfRule>
  </conditionalFormatting>
  <conditionalFormatting sqref="C52:D54 F52:F54">
    <cfRule type="expression" dxfId="126" priority="126" stopIfTrue="1">
      <formula>$A52="O"</formula>
    </cfRule>
    <cfRule type="expression" dxfId="125" priority="127" stopIfTrue="1">
      <formula>$A52="S"</formula>
    </cfRule>
  </conditionalFormatting>
  <conditionalFormatting sqref="J52">
    <cfRule type="expression" dxfId="124" priority="123">
      <formula>$A52="O"</formula>
    </cfRule>
    <cfRule type="expression" dxfId="123" priority="124">
      <formula>$A52="S"</formula>
    </cfRule>
    <cfRule type="expression" dxfId="122" priority="125">
      <formula>$A52="G"</formula>
    </cfRule>
  </conditionalFormatting>
  <conditionalFormatting sqref="J52">
    <cfRule type="expression" dxfId="121" priority="121" stopIfTrue="1">
      <formula>$A52="O"</formula>
    </cfRule>
    <cfRule type="expression" dxfId="120" priority="122" stopIfTrue="1">
      <formula>$A52="S"</formula>
    </cfRule>
  </conditionalFormatting>
  <conditionalFormatting sqref="J53">
    <cfRule type="expression" dxfId="119" priority="118">
      <formula>$A53="O"</formula>
    </cfRule>
    <cfRule type="expression" dxfId="118" priority="119">
      <formula>$A53="S"</formula>
    </cfRule>
    <cfRule type="expression" dxfId="117" priority="120">
      <formula>$A53="G"</formula>
    </cfRule>
  </conditionalFormatting>
  <conditionalFormatting sqref="J53">
    <cfRule type="expression" dxfId="116" priority="116" stopIfTrue="1">
      <formula>$A53="O"</formula>
    </cfRule>
    <cfRule type="expression" dxfId="115" priority="117" stopIfTrue="1">
      <formula>$A53="S"</formula>
    </cfRule>
  </conditionalFormatting>
  <conditionalFormatting sqref="J54">
    <cfRule type="expression" dxfId="114" priority="113">
      <formula>$A54="O"</formula>
    </cfRule>
    <cfRule type="expression" dxfId="113" priority="114">
      <formula>$A54="S"</formula>
    </cfRule>
    <cfRule type="expression" dxfId="112" priority="115">
      <formula>$A54="G"</formula>
    </cfRule>
  </conditionalFormatting>
  <conditionalFormatting sqref="J54">
    <cfRule type="expression" dxfId="111" priority="111" stopIfTrue="1">
      <formula>$A54="O"</formula>
    </cfRule>
    <cfRule type="expression" dxfId="110" priority="112" stopIfTrue="1">
      <formula>$A54="S"</formula>
    </cfRule>
  </conditionalFormatting>
  <conditionalFormatting sqref="C56:D56 F56 C58:D58 D59">
    <cfRule type="expression" dxfId="109" priority="108">
      <formula>$A56="O"</formula>
    </cfRule>
    <cfRule type="expression" dxfId="108" priority="109">
      <formula>$A56="S"</formula>
    </cfRule>
    <cfRule type="expression" dxfId="107" priority="110">
      <formula>$A56="G"</formula>
    </cfRule>
  </conditionalFormatting>
  <conditionalFormatting sqref="C56:D56 F56 C58:D58 D59">
    <cfRule type="expression" dxfId="106" priority="106" stopIfTrue="1">
      <formula>$A56="O"</formula>
    </cfRule>
    <cfRule type="expression" dxfId="105" priority="107" stopIfTrue="1">
      <formula>$A56="S"</formula>
    </cfRule>
  </conditionalFormatting>
  <conditionalFormatting sqref="J56">
    <cfRule type="expression" dxfId="104" priority="103">
      <formula>$A56="O"</formula>
    </cfRule>
    <cfRule type="expression" dxfId="103" priority="104">
      <formula>$A56="S"</formula>
    </cfRule>
    <cfRule type="expression" dxfId="102" priority="105">
      <formula>$A56="G"</formula>
    </cfRule>
  </conditionalFormatting>
  <conditionalFormatting sqref="J56">
    <cfRule type="expression" dxfId="101" priority="101" stopIfTrue="1">
      <formula>$A56="O"</formula>
    </cfRule>
    <cfRule type="expression" dxfId="100" priority="102" stopIfTrue="1">
      <formula>$A56="S"</formula>
    </cfRule>
  </conditionalFormatting>
  <conditionalFormatting sqref="F57">
    <cfRule type="expression" dxfId="99" priority="98">
      <formula>$A57="O"</formula>
    </cfRule>
    <cfRule type="expression" dxfId="98" priority="99">
      <formula>$A57="S"</formula>
    </cfRule>
    <cfRule type="expression" dxfId="97" priority="100">
      <formula>$A57="G"</formula>
    </cfRule>
  </conditionalFormatting>
  <conditionalFormatting sqref="F57">
    <cfRule type="expression" dxfId="96" priority="96" stopIfTrue="1">
      <formula>$A57="O"</formula>
    </cfRule>
    <cfRule type="expression" dxfId="95" priority="97" stopIfTrue="1">
      <formula>$A57="S"</formula>
    </cfRule>
  </conditionalFormatting>
  <conditionalFormatting sqref="J57">
    <cfRule type="expression" dxfId="94" priority="93">
      <formula>$A57="O"</formula>
    </cfRule>
    <cfRule type="expression" dxfId="93" priority="94">
      <formula>$A57="S"</formula>
    </cfRule>
    <cfRule type="expression" dxfId="92" priority="95">
      <formula>$A57="G"</formula>
    </cfRule>
  </conditionalFormatting>
  <conditionalFormatting sqref="J57">
    <cfRule type="expression" dxfId="91" priority="91" stopIfTrue="1">
      <formula>$A57="O"</formula>
    </cfRule>
    <cfRule type="expression" dxfId="90" priority="92" stopIfTrue="1">
      <formula>$A57="S"</formula>
    </cfRule>
  </conditionalFormatting>
  <conditionalFormatting sqref="F58">
    <cfRule type="expression" dxfId="89" priority="88">
      <formula>$A58="O"</formula>
    </cfRule>
    <cfRule type="expression" dxfId="88" priority="89">
      <formula>$A58="S"</formula>
    </cfRule>
    <cfRule type="expression" dxfId="87" priority="90">
      <formula>$A58="G"</formula>
    </cfRule>
  </conditionalFormatting>
  <conditionalFormatting sqref="F58">
    <cfRule type="expression" dxfId="86" priority="86" stopIfTrue="1">
      <formula>$A58="O"</formula>
    </cfRule>
    <cfRule type="expression" dxfId="85" priority="87" stopIfTrue="1">
      <formula>$A58="S"</formula>
    </cfRule>
  </conditionalFormatting>
  <conditionalFormatting sqref="J58">
    <cfRule type="expression" dxfId="84" priority="83">
      <formula>$A58="O"</formula>
    </cfRule>
    <cfRule type="expression" dxfId="83" priority="84">
      <formula>$A58="S"</formula>
    </cfRule>
    <cfRule type="expression" dxfId="82" priority="85">
      <formula>$A58="G"</formula>
    </cfRule>
  </conditionalFormatting>
  <conditionalFormatting sqref="J58">
    <cfRule type="expression" dxfId="81" priority="81" stopIfTrue="1">
      <formula>$A58="O"</formula>
    </cfRule>
    <cfRule type="expression" dxfId="80" priority="82" stopIfTrue="1">
      <formula>$A58="S"</formula>
    </cfRule>
  </conditionalFormatting>
  <conditionalFormatting sqref="F59">
    <cfRule type="expression" dxfId="79" priority="78">
      <formula>$A59="O"</formula>
    </cfRule>
    <cfRule type="expression" dxfId="78" priority="79">
      <formula>$A59="S"</formula>
    </cfRule>
    <cfRule type="expression" dxfId="77" priority="80">
      <formula>$A59="G"</formula>
    </cfRule>
  </conditionalFormatting>
  <conditionalFormatting sqref="F59">
    <cfRule type="expression" dxfId="76" priority="76" stopIfTrue="1">
      <formula>$A59="O"</formula>
    </cfRule>
    <cfRule type="expression" dxfId="75" priority="77" stopIfTrue="1">
      <formula>$A59="S"</formula>
    </cfRule>
  </conditionalFormatting>
  <conditionalFormatting sqref="J59">
    <cfRule type="expression" dxfId="74" priority="73">
      <formula>$A59="O"</formula>
    </cfRule>
    <cfRule type="expression" dxfId="73" priority="74">
      <formula>$A59="S"</formula>
    </cfRule>
    <cfRule type="expression" dxfId="72" priority="75">
      <formula>$A59="G"</formula>
    </cfRule>
  </conditionalFormatting>
  <conditionalFormatting sqref="J59">
    <cfRule type="expression" dxfId="71" priority="71" stopIfTrue="1">
      <formula>$A59="O"</formula>
    </cfRule>
    <cfRule type="expression" dxfId="70" priority="72" stopIfTrue="1">
      <formula>$A59="S"</formula>
    </cfRule>
  </conditionalFormatting>
  <conditionalFormatting sqref="C61:D64">
    <cfRule type="expression" dxfId="69" priority="68">
      <formula>$A61="O"</formula>
    </cfRule>
    <cfRule type="expression" dxfId="68" priority="69">
      <formula>$A61="S"</formula>
    </cfRule>
    <cfRule type="expression" dxfId="67" priority="70">
      <formula>$A61="G"</formula>
    </cfRule>
  </conditionalFormatting>
  <conditionalFormatting sqref="C61:D64">
    <cfRule type="expression" dxfId="66" priority="66" stopIfTrue="1">
      <formula>$A61="O"</formula>
    </cfRule>
    <cfRule type="expression" dxfId="65" priority="67" stopIfTrue="1">
      <formula>$A61="S"</formula>
    </cfRule>
  </conditionalFormatting>
  <conditionalFormatting sqref="F61">
    <cfRule type="expression" dxfId="64" priority="63">
      <formula>$A61="O"</formula>
    </cfRule>
    <cfRule type="expression" dxfId="63" priority="64">
      <formula>$A61="S"</formula>
    </cfRule>
    <cfRule type="expression" dxfId="62" priority="65">
      <formula>$A61="G"</formula>
    </cfRule>
  </conditionalFormatting>
  <conditionalFormatting sqref="F61">
    <cfRule type="expression" dxfId="61" priority="61" stopIfTrue="1">
      <formula>$A61="O"</formula>
    </cfRule>
    <cfRule type="expression" dxfId="60" priority="62" stopIfTrue="1">
      <formula>$A61="S"</formula>
    </cfRule>
  </conditionalFormatting>
  <conditionalFormatting sqref="J61">
    <cfRule type="expression" dxfId="59" priority="58">
      <formula>$A61="O"</formula>
    </cfRule>
    <cfRule type="expression" dxfId="58" priority="59">
      <formula>$A61="S"</formula>
    </cfRule>
    <cfRule type="expression" dxfId="57" priority="60">
      <formula>$A61="G"</formula>
    </cfRule>
  </conditionalFormatting>
  <conditionalFormatting sqref="J61">
    <cfRule type="expression" dxfId="56" priority="56" stopIfTrue="1">
      <formula>$A61="O"</formula>
    </cfRule>
    <cfRule type="expression" dxfId="55" priority="57" stopIfTrue="1">
      <formula>$A61="S"</formula>
    </cfRule>
  </conditionalFormatting>
  <conditionalFormatting sqref="F62">
    <cfRule type="expression" dxfId="54" priority="53">
      <formula>$A62="O"</formula>
    </cfRule>
    <cfRule type="expression" dxfId="53" priority="54">
      <formula>$A62="S"</formula>
    </cfRule>
    <cfRule type="expression" dxfId="52" priority="55">
      <formula>$A62="G"</formula>
    </cfRule>
  </conditionalFormatting>
  <conditionalFormatting sqref="F62">
    <cfRule type="expression" dxfId="51" priority="51" stopIfTrue="1">
      <formula>$A62="O"</formula>
    </cfRule>
    <cfRule type="expression" dxfId="50" priority="52" stopIfTrue="1">
      <formula>$A62="S"</formula>
    </cfRule>
  </conditionalFormatting>
  <conditionalFormatting sqref="J62">
    <cfRule type="expression" dxfId="49" priority="48">
      <formula>$A62="O"</formula>
    </cfRule>
    <cfRule type="expression" dxfId="48" priority="49">
      <formula>$A62="S"</formula>
    </cfRule>
    <cfRule type="expression" dxfId="47" priority="50">
      <formula>$A62="G"</formula>
    </cfRule>
  </conditionalFormatting>
  <conditionalFormatting sqref="J62">
    <cfRule type="expression" dxfId="46" priority="46" stopIfTrue="1">
      <formula>$A62="O"</formula>
    </cfRule>
    <cfRule type="expression" dxfId="45" priority="47" stopIfTrue="1">
      <formula>$A62="S"</formula>
    </cfRule>
  </conditionalFormatting>
  <conditionalFormatting sqref="F63">
    <cfRule type="expression" dxfId="44" priority="43">
      <formula>$A63="O"</formula>
    </cfRule>
    <cfRule type="expression" dxfId="43" priority="44">
      <formula>$A63="S"</formula>
    </cfRule>
    <cfRule type="expression" dxfId="42" priority="45">
      <formula>$A63="G"</formula>
    </cfRule>
  </conditionalFormatting>
  <conditionalFormatting sqref="F63">
    <cfRule type="expression" dxfId="41" priority="41" stopIfTrue="1">
      <formula>$A63="O"</formula>
    </cfRule>
    <cfRule type="expression" dxfId="40" priority="42" stopIfTrue="1">
      <formula>$A63="S"</formula>
    </cfRule>
  </conditionalFormatting>
  <conditionalFormatting sqref="J63">
    <cfRule type="expression" dxfId="39" priority="38">
      <formula>$A63="O"</formula>
    </cfRule>
    <cfRule type="expression" dxfId="38" priority="39">
      <formula>$A63="S"</formula>
    </cfRule>
    <cfRule type="expression" dxfId="37" priority="40">
      <formula>$A63="G"</formula>
    </cfRule>
  </conditionalFormatting>
  <conditionalFormatting sqref="J63">
    <cfRule type="expression" dxfId="36" priority="36" stopIfTrue="1">
      <formula>$A63="O"</formula>
    </cfRule>
    <cfRule type="expression" dxfId="35" priority="37" stopIfTrue="1">
      <formula>$A63="S"</formula>
    </cfRule>
  </conditionalFormatting>
  <conditionalFormatting sqref="F64">
    <cfRule type="expression" dxfId="34" priority="33">
      <formula>$A64="O"</formula>
    </cfRule>
    <cfRule type="expression" dxfId="33" priority="34">
      <formula>$A64="S"</formula>
    </cfRule>
    <cfRule type="expression" dxfId="32" priority="35">
      <formula>$A64="G"</formula>
    </cfRule>
  </conditionalFormatting>
  <conditionalFormatting sqref="F64">
    <cfRule type="expression" dxfId="31" priority="31" stopIfTrue="1">
      <formula>$A64="O"</formula>
    </cfRule>
    <cfRule type="expression" dxfId="30" priority="32" stopIfTrue="1">
      <formula>$A64="S"</formula>
    </cfRule>
  </conditionalFormatting>
  <conditionalFormatting sqref="J64">
    <cfRule type="expression" dxfId="29" priority="28">
      <formula>$A64="O"</formula>
    </cfRule>
    <cfRule type="expression" dxfId="28" priority="29">
      <formula>$A64="S"</formula>
    </cfRule>
    <cfRule type="expression" dxfId="27" priority="30">
      <formula>$A64="G"</formula>
    </cfRule>
  </conditionalFormatting>
  <conditionalFormatting sqref="J64">
    <cfRule type="expression" dxfId="26" priority="26" stopIfTrue="1">
      <formula>$A64="O"</formula>
    </cfRule>
    <cfRule type="expression" dxfId="25" priority="27" stopIfTrue="1">
      <formula>$A64="S"</formula>
    </cfRule>
  </conditionalFormatting>
  <conditionalFormatting sqref="C66:D69 F66:F69">
    <cfRule type="expression" dxfId="24" priority="23">
      <formula>$A66="O"</formula>
    </cfRule>
    <cfRule type="expression" dxfId="23" priority="24">
      <formula>$A66="S"</formula>
    </cfRule>
    <cfRule type="expression" dxfId="22" priority="25">
      <formula>$A66="G"</formula>
    </cfRule>
  </conditionalFormatting>
  <conditionalFormatting sqref="C66:D69 F66:F69">
    <cfRule type="expression" dxfId="21" priority="21" stopIfTrue="1">
      <formula>$A66="O"</formula>
    </cfRule>
    <cfRule type="expression" dxfId="20" priority="22" stopIfTrue="1">
      <formula>$A66="S"</formula>
    </cfRule>
  </conditionalFormatting>
  <conditionalFormatting sqref="C71:D72 F71:F72">
    <cfRule type="expression" dxfId="19" priority="18">
      <formula>$A71="O"</formula>
    </cfRule>
    <cfRule type="expression" dxfId="18" priority="19">
      <formula>$A71="S"</formula>
    </cfRule>
    <cfRule type="expression" dxfId="17" priority="20">
      <formula>$A71="G"</formula>
    </cfRule>
  </conditionalFormatting>
  <conditionalFormatting sqref="C71:D72 F71:F72">
    <cfRule type="expression" dxfId="16" priority="16" stopIfTrue="1">
      <formula>$A71="O"</formula>
    </cfRule>
    <cfRule type="expression" dxfId="15" priority="17" stopIfTrue="1">
      <formula>$A71="S"</formula>
    </cfRule>
  </conditionalFormatting>
  <conditionalFormatting sqref="B52">
    <cfRule type="expression" dxfId="14" priority="13">
      <formula>$A52="O"</formula>
    </cfRule>
    <cfRule type="expression" dxfId="13" priority="14">
      <formula>$A52="S"</formula>
    </cfRule>
    <cfRule type="expression" dxfId="12" priority="15">
      <formula>$A52="G"</formula>
    </cfRule>
  </conditionalFormatting>
  <conditionalFormatting sqref="B52">
    <cfRule type="expression" dxfId="11" priority="11" stopIfTrue="1">
      <formula>$A52="O"</formula>
    </cfRule>
    <cfRule type="expression" dxfId="10" priority="12" stopIfTrue="1">
      <formula>$A52="S"</formula>
    </cfRule>
  </conditionalFormatting>
  <conditionalFormatting sqref="B53">
    <cfRule type="expression" dxfId="9" priority="8">
      <formula>$A53="O"</formula>
    </cfRule>
    <cfRule type="expression" dxfId="8" priority="9">
      <formula>$A53="S"</formula>
    </cfRule>
    <cfRule type="expression" dxfId="7" priority="10">
      <formula>$A53="G"</formula>
    </cfRule>
  </conditionalFormatting>
  <conditionalFormatting sqref="B53">
    <cfRule type="expression" dxfId="6" priority="6" stopIfTrue="1">
      <formula>$A53="O"</formula>
    </cfRule>
    <cfRule type="expression" dxfId="5" priority="7" stopIfTrue="1">
      <formula>$A53="S"</formula>
    </cfRule>
  </conditionalFormatting>
  <conditionalFormatting sqref="B54">
    <cfRule type="expression" dxfId="4" priority="3">
      <formula>$A54="O"</formula>
    </cfRule>
    <cfRule type="expression" dxfId="3" priority="4">
      <formula>$A54="S"</formula>
    </cfRule>
    <cfRule type="expression" dxfId="2" priority="5">
      <formula>$A54="G"</formula>
    </cfRule>
  </conditionalFormatting>
  <conditionalFormatting sqref="B54">
    <cfRule type="expression" dxfId="1" priority="1" stopIfTrue="1">
      <formula>$A54="O"</formula>
    </cfRule>
    <cfRule type="expression" dxfId="0" priority="2" stopIfTrue="1">
      <formula>$A54="S"</formula>
    </cfRule>
  </conditionalFormatting>
  <pageMargins left="0.2" right="0.2" top="0.75" bottom="0.75" header="0.3" footer="0.3"/>
  <pageSetup paperSize="5" scale="50" fitToHeight="0"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14:formula1>
            <xm:f>'[20]Drop Down Options'!#REF!</xm:f>
          </x14:formula1>
          <xm:sqref>N71:N72</xm:sqref>
        </x14:dataValidation>
        <x14:dataValidation type="list" allowBlank="1" showInputMessage="1" showErrorMessage="1">
          <x14:formula1>
            <xm:f>'[21]Drop Down Options'!#REF!</xm:f>
          </x14:formula1>
          <xm:sqref>N66:N69</xm:sqref>
        </x14:dataValidation>
        <x14:dataValidation type="list" allowBlank="1" showInputMessage="1" showErrorMessage="1">
          <x14:formula1>
            <xm:f>'[22]Drop Down Options'!#REF!</xm:f>
          </x14:formula1>
          <xm:sqref>N33:N37 N39:N41</xm:sqref>
        </x14:dataValidation>
        <x14:dataValidation type="list" allowBlank="1" showInputMessage="1" showErrorMessage="1">
          <x14:formula1>
            <xm:f>'[23]Drop Down Options'!#REF!</xm:f>
          </x14:formula1>
          <xm:sqref>N43:N45</xm:sqref>
        </x14:dataValidation>
        <x14:dataValidation type="list" allowBlank="1" showInputMessage="1" showErrorMessage="1">
          <x14:formula1>
            <xm:f>'[24]Drop Down Options'!#REF!</xm:f>
          </x14:formula1>
          <xm:sqref>N18:N21 N23:N25 N27:N30</xm:sqref>
        </x14:dataValidation>
        <x14:dataValidation type="list" allowBlank="1" showInputMessage="1" showErrorMessage="1">
          <x14:formula1>
            <xm:f>'[25]Drop Down Options'!#REF!</xm:f>
          </x14:formula1>
          <xm:sqref>N48:N50 N52:N54 N56:N59 N61:N64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29" workbookViewId="0">
      <selection activeCell="E32" sqref="E32"/>
    </sheetView>
  </sheetViews>
  <sheetFormatPr defaultColWidth="9.140625" defaultRowHeight="12.75" x14ac:dyDescent="0.2"/>
  <cols>
    <col min="1" max="1" width="44" style="54" bestFit="1" customWidth="1"/>
    <col min="2" max="2" width="9.140625" style="54"/>
    <col min="3" max="3" width="36.140625" style="54" customWidth="1"/>
    <col min="4" max="4" width="9.140625" style="54"/>
    <col min="5" max="5" width="37.42578125" style="54" customWidth="1"/>
    <col min="6" max="16384" width="9.140625" style="54"/>
  </cols>
  <sheetData>
    <row r="1" spans="1:5" x14ac:dyDescent="0.2">
      <c r="A1" s="53" t="s">
        <v>222</v>
      </c>
      <c r="C1" s="53" t="s">
        <v>223</v>
      </c>
      <c r="E1" s="53" t="s">
        <v>256</v>
      </c>
    </row>
    <row r="2" spans="1:5" x14ac:dyDescent="0.2">
      <c r="A2" s="55" t="s">
        <v>17</v>
      </c>
      <c r="C2" s="55" t="s">
        <v>224</v>
      </c>
      <c r="E2" s="55" t="s">
        <v>255</v>
      </c>
    </row>
    <row r="3" spans="1:5" x14ac:dyDescent="0.2">
      <c r="A3" s="54" t="s">
        <v>11</v>
      </c>
      <c r="C3" s="54" t="s">
        <v>225</v>
      </c>
      <c r="E3" s="54" t="s">
        <v>14</v>
      </c>
    </row>
    <row r="4" spans="1:5" x14ac:dyDescent="0.2">
      <c r="A4" s="54" t="s">
        <v>12</v>
      </c>
      <c r="C4" s="54" t="s">
        <v>226</v>
      </c>
      <c r="E4" s="54" t="s">
        <v>15</v>
      </c>
    </row>
    <row r="5" spans="1:5" x14ac:dyDescent="0.2">
      <c r="C5" s="54" t="s">
        <v>227</v>
      </c>
      <c r="E5" s="54" t="s">
        <v>263</v>
      </c>
    </row>
    <row r="6" spans="1:5" x14ac:dyDescent="0.2">
      <c r="A6" s="55" t="s">
        <v>18</v>
      </c>
    </row>
    <row r="7" spans="1:5" x14ac:dyDescent="0.2">
      <c r="A7" s="54" t="s">
        <v>228</v>
      </c>
      <c r="C7" s="56" t="s">
        <v>229</v>
      </c>
      <c r="E7" s="55" t="s">
        <v>257</v>
      </c>
    </row>
    <row r="8" spans="1:5" x14ac:dyDescent="0.2">
      <c r="A8" s="54" t="s">
        <v>230</v>
      </c>
      <c r="C8" s="31" t="s">
        <v>2</v>
      </c>
      <c r="E8" s="54" t="s">
        <v>14</v>
      </c>
    </row>
    <row r="9" spans="1:5" x14ac:dyDescent="0.2">
      <c r="A9" s="54" t="s">
        <v>231</v>
      </c>
      <c r="C9" s="31" t="s">
        <v>3</v>
      </c>
      <c r="E9" s="54" t="s">
        <v>15</v>
      </c>
    </row>
    <row r="10" spans="1:5" x14ac:dyDescent="0.2">
      <c r="C10" s="31" t="s">
        <v>4</v>
      </c>
      <c r="E10" s="54" t="s">
        <v>263</v>
      </c>
    </row>
    <row r="11" spans="1:5" x14ac:dyDescent="0.2">
      <c r="A11" s="55" t="s">
        <v>232</v>
      </c>
      <c r="C11" s="31" t="s">
        <v>13</v>
      </c>
    </row>
    <row r="12" spans="1:5" x14ac:dyDescent="0.2">
      <c r="A12" s="54" t="s">
        <v>14</v>
      </c>
      <c r="E12" s="55" t="s">
        <v>258</v>
      </c>
    </row>
    <row r="13" spans="1:5" x14ac:dyDescent="0.2">
      <c r="A13" s="54" t="s">
        <v>15</v>
      </c>
      <c r="C13" s="56" t="s">
        <v>233</v>
      </c>
      <c r="E13" s="54" t="s">
        <v>14</v>
      </c>
    </row>
    <row r="14" spans="1:5" x14ac:dyDescent="0.2">
      <c r="C14" s="31" t="s">
        <v>10</v>
      </c>
      <c r="E14" s="54" t="s">
        <v>15</v>
      </c>
    </row>
    <row r="15" spans="1:5" x14ac:dyDescent="0.2">
      <c r="A15" s="55" t="s">
        <v>234</v>
      </c>
      <c r="C15" s="31" t="s">
        <v>265</v>
      </c>
      <c r="E15" s="54" t="s">
        <v>263</v>
      </c>
    </row>
    <row r="16" spans="1:5" x14ac:dyDescent="0.2">
      <c r="A16" s="54" t="s">
        <v>246</v>
      </c>
      <c r="C16" s="31" t="s">
        <v>266</v>
      </c>
    </row>
    <row r="17" spans="1:5" x14ac:dyDescent="0.2">
      <c r="A17" s="54" t="s">
        <v>235</v>
      </c>
      <c r="C17" s="54" t="s">
        <v>267</v>
      </c>
      <c r="E17" s="55" t="s">
        <v>259</v>
      </c>
    </row>
    <row r="18" spans="1:5" x14ac:dyDescent="0.2">
      <c r="A18" s="54" t="s">
        <v>236</v>
      </c>
      <c r="C18" s="54" t="s">
        <v>268</v>
      </c>
      <c r="E18" s="54" t="s">
        <v>260</v>
      </c>
    </row>
    <row r="19" spans="1:5" x14ac:dyDescent="0.2">
      <c r="A19" s="54" t="s">
        <v>15</v>
      </c>
      <c r="E19" s="54" t="s">
        <v>261</v>
      </c>
    </row>
    <row r="20" spans="1:5" x14ac:dyDescent="0.2">
      <c r="E20" s="54" t="s">
        <v>262</v>
      </c>
    </row>
    <row r="21" spans="1:5" x14ac:dyDescent="0.2">
      <c r="A21" s="53" t="s">
        <v>237</v>
      </c>
      <c r="C21" s="53" t="s">
        <v>241</v>
      </c>
      <c r="E21" s="54" t="s">
        <v>263</v>
      </c>
    </row>
    <row r="22" spans="1:5" x14ac:dyDescent="0.2">
      <c r="A22" s="55" t="s">
        <v>238</v>
      </c>
      <c r="C22" s="57" t="s">
        <v>242</v>
      </c>
    </row>
    <row r="23" spans="1:5" x14ac:dyDescent="0.2">
      <c r="A23" s="54" t="s">
        <v>14</v>
      </c>
      <c r="C23" s="58" t="s">
        <v>14</v>
      </c>
    </row>
    <row r="24" spans="1:5" x14ac:dyDescent="0.2">
      <c r="A24" s="54" t="s">
        <v>15</v>
      </c>
      <c r="C24" s="58" t="s">
        <v>15</v>
      </c>
    </row>
    <row r="25" spans="1:5" x14ac:dyDescent="0.2">
      <c r="C25" s="58"/>
    </row>
    <row r="26" spans="1:5" x14ac:dyDescent="0.2">
      <c r="A26" s="55" t="s">
        <v>239</v>
      </c>
      <c r="C26" s="58"/>
    </row>
    <row r="27" spans="1:5" x14ac:dyDescent="0.2">
      <c r="A27" s="54" t="s">
        <v>14</v>
      </c>
      <c r="C27" s="57"/>
    </row>
    <row r="28" spans="1:5" x14ac:dyDescent="0.2">
      <c r="A28" s="54" t="s">
        <v>15</v>
      </c>
      <c r="C28" s="59" t="s">
        <v>31</v>
      </c>
    </row>
    <row r="29" spans="1:5" x14ac:dyDescent="0.2">
      <c r="C29" s="58" t="s">
        <v>269</v>
      </c>
    </row>
    <row r="30" spans="1:5" x14ac:dyDescent="0.2">
      <c r="A30" s="55" t="s">
        <v>240</v>
      </c>
      <c r="C30" s="58" t="s">
        <v>270</v>
      </c>
    </row>
    <row r="31" spans="1:5" x14ac:dyDescent="0.2">
      <c r="A31" s="54" t="s">
        <v>14</v>
      </c>
      <c r="C31" s="58"/>
    </row>
    <row r="32" spans="1:5" x14ac:dyDescent="0.2">
      <c r="A32" s="54" t="s">
        <v>15</v>
      </c>
      <c r="C32" s="59" t="s">
        <v>51</v>
      </c>
    </row>
    <row r="33" spans="1:3" x14ac:dyDescent="0.2">
      <c r="C33" s="58" t="s">
        <v>11</v>
      </c>
    </row>
    <row r="34" spans="1:3" x14ac:dyDescent="0.2">
      <c r="A34" s="55" t="s">
        <v>243</v>
      </c>
      <c r="C34" s="58" t="s">
        <v>12</v>
      </c>
    </row>
    <row r="35" spans="1:3" x14ac:dyDescent="0.2">
      <c r="A35" s="54" t="s">
        <v>14</v>
      </c>
      <c r="C35" s="58" t="s">
        <v>271</v>
      </c>
    </row>
    <row r="36" spans="1:3" x14ac:dyDescent="0.2">
      <c r="A36" s="54" t="s">
        <v>15</v>
      </c>
      <c r="C36" s="58"/>
    </row>
    <row r="37" spans="1:3" ht="63.75" x14ac:dyDescent="0.2">
      <c r="C37" s="59" t="s">
        <v>181</v>
      </c>
    </row>
    <row r="38" spans="1:3" x14ac:dyDescent="0.2">
      <c r="A38" s="55" t="s">
        <v>244</v>
      </c>
      <c r="C38" s="58" t="s">
        <v>272</v>
      </c>
    </row>
    <row r="39" spans="1:3" x14ac:dyDescent="0.2">
      <c r="A39" s="54" t="s">
        <v>14</v>
      </c>
      <c r="C39" s="58" t="s">
        <v>273</v>
      </c>
    </row>
    <row r="40" spans="1:3" x14ac:dyDescent="0.2">
      <c r="A40" s="54" t="s">
        <v>15</v>
      </c>
      <c r="C40" s="58"/>
    </row>
    <row r="41" spans="1:3" ht="25.5" x14ac:dyDescent="0.2">
      <c r="C41" s="59" t="s">
        <v>182</v>
      </c>
    </row>
    <row r="42" spans="1:3" x14ac:dyDescent="0.2">
      <c r="A42" s="55" t="s">
        <v>245</v>
      </c>
      <c r="C42" s="58" t="s">
        <v>274</v>
      </c>
    </row>
    <row r="43" spans="1:3" x14ac:dyDescent="0.2">
      <c r="A43" s="54" t="s">
        <v>14</v>
      </c>
      <c r="C43" s="58" t="s">
        <v>275</v>
      </c>
    </row>
    <row r="44" spans="1:3" x14ac:dyDescent="0.2">
      <c r="A44" s="54" t="s">
        <v>15</v>
      </c>
      <c r="C44" s="58"/>
    </row>
    <row r="46" spans="1:3" x14ac:dyDescent="0.2">
      <c r="A46" s="55" t="s">
        <v>247</v>
      </c>
    </row>
    <row r="47" spans="1:3" x14ac:dyDescent="0.2">
      <c r="A47" s="54" t="s">
        <v>248</v>
      </c>
    </row>
    <row r="48" spans="1:3" x14ac:dyDescent="0.2">
      <c r="A48" s="54" t="s">
        <v>249</v>
      </c>
    </row>
    <row r="49" spans="1:1" ht="25.5" x14ac:dyDescent="0.2">
      <c r="A49" s="54" t="s">
        <v>250</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Laws</vt:lpstr>
      <vt:lpstr>Deliverables</vt:lpstr>
      <vt:lpstr>Deliverables - Potential Harm</vt:lpstr>
      <vt:lpstr>Organizational Units</vt:lpstr>
      <vt:lpstr>ComprehensiveStrategic Finances</vt:lpstr>
      <vt:lpstr>Performance Measures</vt:lpstr>
      <vt:lpstr>Strategic Plan Summary</vt:lpstr>
      <vt:lpstr>Drop Down Options</vt:lpstr>
      <vt:lpstr>AgencyName</vt:lpstr>
      <vt:lpstr>Eval</vt:lpstr>
      <vt:lpstr>PartnerEntityType</vt:lpstr>
      <vt:lpstr>Laws!Print_Area</vt:lpstr>
      <vt:lpstr>'Strategic Plan Summary'!Print_Area</vt:lpstr>
      <vt:lpstr>Deliverables!Print_Titles</vt:lpstr>
      <vt:lpstr>'Deliverables - Potential Harm'!Print_Titles</vt:lpstr>
      <vt:lpstr>Laws!Print_Titles</vt:lpstr>
      <vt:lpstr>'Organizational Units'!Print_Titles</vt:lpstr>
      <vt:lpstr>'Performance Measures'!Print_Titles</vt:lpstr>
      <vt:lpstr>'Strategic Plan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2018-04-23T17:44:23Z</dcterms:modified>
</cp:coreProperties>
</file>